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5" yWindow="180" windowWidth="13440" windowHeight="6420" tabRatio="857" activeTab="2"/>
  </bookViews>
  <sheets>
    <sheet name="Introduction" sheetId="1" r:id="rId1"/>
    <sheet name="Abstract " sheetId="2" r:id="rId2"/>
    <sheet name="Example Crapemyrtle Costs" sheetId="3" r:id="rId3"/>
    <sheet name="Example Crapemyrtle Returns" sheetId="4" r:id="rId4"/>
    <sheet name="Your Costs" sheetId="5" r:id="rId5"/>
    <sheet name="Your Returns" sheetId="6" r:id="rId6"/>
    <sheet name="Insecticide Costs applied" sheetId="7" r:id="rId7"/>
    <sheet name="Plant disease costs applied" sheetId="8" r:id="rId8"/>
    <sheet name="Herbicide Costs applied" sheetId="9" r:id="rId9"/>
  </sheets>
  <definedNames>
    <definedName name="OLE_LINK1" localSheetId="1">'Abstract '!$B$1</definedName>
    <definedName name="_xlnm.Print_Area" localSheetId="3">'Example Crapemyrtle Returns'!$A$1:$G$47</definedName>
    <definedName name="_xlnm.Print_Area" localSheetId="4">'Your Costs'!$A$1:$H$256</definedName>
    <definedName name="_xlnm.Print_Area" localSheetId="5">'Your Returns'!$A$1:$G$55</definedName>
    <definedName name="_xlnm.Print_Titles" localSheetId="2">'Example Crapemyrtle Costs'!$5:$6</definedName>
    <definedName name="_xlnm.Print_Titles" localSheetId="4">'Your Costs'!$5:$6</definedName>
  </definedNames>
  <calcPr fullCalcOnLoad="1"/>
</workbook>
</file>

<file path=xl/comments6.xml><?xml version="1.0" encoding="utf-8"?>
<comments xmlns="http://schemas.openxmlformats.org/spreadsheetml/2006/main">
  <authors>
    <author>Reviewer Anonymous</author>
  </authors>
  <commentList>
    <comment ref="F39" authorId="0">
      <text>
        <r>
          <rPr>
            <b/>
            <sz val="9"/>
            <rFont val="Tahoma"/>
            <family val="2"/>
          </rPr>
          <t>Wholesale Price Column:</t>
        </r>
        <r>
          <rPr>
            <sz val="9"/>
            <rFont val="Tahoma"/>
            <family val="2"/>
          </rPr>
          <t xml:space="preserve">
Add your price here by simply typing over the numbers present.  They are there for reference only.</t>
        </r>
      </text>
    </comment>
    <comment ref="D39" authorId="0">
      <text>
        <r>
          <rPr>
            <b/>
            <sz val="9"/>
            <rFont val="Tahoma"/>
            <family val="2"/>
          </rPr>
          <t xml:space="preserve">Trees Sold:
</t>
        </r>
        <r>
          <rPr>
            <sz val="9"/>
            <rFont val="Tahoma"/>
            <family val="2"/>
          </rPr>
          <t>Add your numbers sold per year here for each size. Then  the other tables will fill automatically if not already filled.</t>
        </r>
      </text>
    </comment>
    <comment ref="C7" authorId="0">
      <text>
        <r>
          <rPr>
            <b/>
            <sz val="9"/>
            <rFont val="Tahoma"/>
            <family val="2"/>
          </rPr>
          <t xml:space="preserve">Trees planted per acre: </t>
        </r>
        <r>
          <rPr>
            <sz val="9"/>
            <rFont val="Tahoma"/>
            <family val="2"/>
          </rPr>
          <t xml:space="preserve">Please input the number of trees planted per acre. If there are different numbers for different fields, then use an average number for all fields.  You can also save the entire Excel file under a different name if there is too much discrepancy between fields, or different cultivars have different production costs. </t>
        </r>
        <r>
          <rPr>
            <b/>
            <sz val="9"/>
            <rFont val="Tahoma"/>
            <family val="2"/>
          </rPr>
          <t xml:space="preserve"> 
Total Acres:  </t>
        </r>
        <r>
          <rPr>
            <sz val="9"/>
            <rFont val="Tahoma"/>
            <family val="2"/>
          </rPr>
          <t xml:space="preserve">Enter the total number of acres planted in Crape Myrtle.  Portions of acres, for example 2.5, or 4.2 can also be entered.
</t>
        </r>
        <r>
          <rPr>
            <b/>
            <sz val="9"/>
            <rFont val="Tahoma"/>
            <family val="2"/>
          </rPr>
          <t xml:space="preserve">Number of Unsalable trees: </t>
        </r>
        <r>
          <rPr>
            <sz val="9"/>
            <rFont val="Tahoma"/>
            <family val="2"/>
          </rPr>
          <t>Please keep this number updated yearly to show how many have died or otherwise became unsalable.  This helps to determine percent of trees harvested.</t>
        </r>
      </text>
    </comment>
  </commentList>
</comments>
</file>

<file path=xl/sharedStrings.xml><?xml version="1.0" encoding="utf-8"?>
<sst xmlns="http://schemas.openxmlformats.org/spreadsheetml/2006/main" count="1317" uniqueCount="501">
  <si>
    <t>Harvest</t>
  </si>
  <si>
    <t>Year 4</t>
  </si>
  <si>
    <t>Year 5</t>
  </si>
  <si>
    <t>Loss Rate</t>
  </si>
  <si>
    <t>Total Trees Planted</t>
  </si>
  <si>
    <t>Total Trees Harvested</t>
  </si>
  <si>
    <t>Trees</t>
  </si>
  <si>
    <t>Year</t>
  </si>
  <si>
    <t>Annual</t>
  </si>
  <si>
    <t>Cumulative</t>
  </si>
  <si>
    <t>Available</t>
  </si>
  <si>
    <t>Preparation Year</t>
  </si>
  <si>
    <t>Year 1</t>
  </si>
  <si>
    <t>Year 2</t>
  </si>
  <si>
    <t>Year 3</t>
  </si>
  <si>
    <t>Total</t>
  </si>
  <si>
    <t>Average Cost per Tree</t>
  </si>
  <si>
    <t>Cost Checks</t>
  </si>
  <si>
    <t xml:space="preserve"> </t>
  </si>
  <si>
    <t>Cost per</t>
  </si>
  <si>
    <t>Tree</t>
  </si>
  <si>
    <t>Projected Revenues</t>
  </si>
  <si>
    <t>Wholesale</t>
  </si>
  <si>
    <t>Projected</t>
  </si>
  <si>
    <t>Percent</t>
  </si>
  <si>
    <t>Size</t>
  </si>
  <si>
    <t>Price</t>
  </si>
  <si>
    <t>Revenue</t>
  </si>
  <si>
    <t>7-8'</t>
  </si>
  <si>
    <t>8-10'</t>
  </si>
  <si>
    <t>20 Acres</t>
  </si>
  <si>
    <t>Per Acre</t>
  </si>
  <si>
    <t>Equipment</t>
  </si>
  <si>
    <t>Material</t>
  </si>
  <si>
    <t>Labor</t>
  </si>
  <si>
    <t>Cost</t>
  </si>
  <si>
    <t>Plow Field (2x)</t>
  </si>
  <si>
    <t>Disc Field (3x)</t>
  </si>
  <si>
    <t>Drill Cover Crop</t>
  </si>
  <si>
    <t>Soil Test</t>
  </si>
  <si>
    <t>Subsoil</t>
  </si>
  <si>
    <t>Apply Herbicide (2x)</t>
  </si>
  <si>
    <t>Apply Lime</t>
  </si>
  <si>
    <t>Rotovate Soil</t>
  </si>
  <si>
    <t>Order Whips</t>
  </si>
  <si>
    <t>Taxes</t>
  </si>
  <si>
    <t>Management</t>
  </si>
  <si>
    <t xml:space="preserve">Land Cost </t>
  </si>
  <si>
    <t>Miscellaneous</t>
  </si>
  <si>
    <t>Overhead</t>
  </si>
  <si>
    <t>Operating Capital</t>
  </si>
  <si>
    <t>Apply Herbicide</t>
  </si>
  <si>
    <t>Unload Whips for Storage</t>
  </si>
  <si>
    <t>Load and Unload Whips</t>
  </si>
  <si>
    <t>Plant Whips</t>
  </si>
  <si>
    <t>Stake Whips</t>
  </si>
  <si>
    <t>Install Drip Irrigation</t>
  </si>
  <si>
    <t>Irrigate Whips</t>
  </si>
  <si>
    <t>Prune Suckers</t>
  </si>
  <si>
    <t>Investment</t>
  </si>
  <si>
    <t>Select and Prune Suckers</t>
  </si>
  <si>
    <t>Harvest 50% of trees</t>
  </si>
  <si>
    <t>Load trees in field</t>
  </si>
  <si>
    <t>Load trees on 24' trailer</t>
  </si>
  <si>
    <t>Load trees on tractor trailer</t>
  </si>
  <si>
    <t>Marketing</t>
  </si>
  <si>
    <t xml:space="preserve">      Catalogs</t>
  </si>
  <si>
    <t xml:space="preserve">      Trade Shows</t>
  </si>
  <si>
    <t xml:space="preserve">      Magazine Ads</t>
  </si>
  <si>
    <t xml:space="preserve">      Web Based Advertising</t>
  </si>
  <si>
    <t>Prune</t>
  </si>
  <si>
    <t>Costs</t>
  </si>
  <si>
    <t>Cost Per Tree</t>
  </si>
  <si>
    <t>Total Acres Planted</t>
  </si>
  <si>
    <t>Sold</t>
  </si>
  <si>
    <t xml:space="preserve">Total Revenues    </t>
  </si>
  <si>
    <t xml:space="preserve">Total Returns   </t>
  </si>
  <si>
    <t xml:space="preserve">Total Costs   </t>
  </si>
  <si>
    <t>Projected Returns</t>
  </si>
  <si>
    <t>or,</t>
  </si>
  <si>
    <t>September - October</t>
  </si>
  <si>
    <t>Type of Operation</t>
  </si>
  <si>
    <t>First Year</t>
  </si>
  <si>
    <t>February</t>
  </si>
  <si>
    <t>March</t>
  </si>
  <si>
    <t>Annual Overhead Costs</t>
  </si>
  <si>
    <t>Pick-up Truck</t>
  </si>
  <si>
    <t>Projected Returns to Land, Management, and Operating Capital</t>
  </si>
  <si>
    <t>April</t>
  </si>
  <si>
    <t>May</t>
  </si>
  <si>
    <t>Mow between rows</t>
  </si>
  <si>
    <t>June</t>
  </si>
  <si>
    <t>July - August</t>
  </si>
  <si>
    <t>October</t>
  </si>
  <si>
    <t>Second Year</t>
  </si>
  <si>
    <t>Apply Fertilizer</t>
  </si>
  <si>
    <t>Third Year</t>
  </si>
  <si>
    <t>Fourth Year</t>
  </si>
  <si>
    <t>Harvested</t>
  </si>
  <si>
    <t>Years</t>
  </si>
  <si>
    <t>of Trees</t>
  </si>
  <si>
    <t>Trees Planted per Acre</t>
  </si>
  <si>
    <t>Total Costs First Year</t>
  </si>
  <si>
    <t>Total Costs Second Year</t>
  </si>
  <si>
    <t>Total Costs Third Year</t>
  </si>
  <si>
    <t>Total Costs Fourth Year</t>
  </si>
  <si>
    <t>Total Costs Fifth Year</t>
  </si>
  <si>
    <t>Total Costs Preparation Year</t>
  </si>
  <si>
    <t xml:space="preserve">Fifth Year </t>
  </si>
  <si>
    <t>September</t>
  </si>
  <si>
    <t>January</t>
  </si>
  <si>
    <t>December</t>
  </si>
  <si>
    <t>Estimated Production Costs, Gross Revenues, and Projected Returns</t>
  </si>
  <si>
    <t>by Month and Type of Operation</t>
  </si>
  <si>
    <t>Charles D. Safley</t>
  </si>
  <si>
    <t>University, Raleigh, NC 27695-8109</t>
  </si>
  <si>
    <t>University, Raleigh NC 27695-7609</t>
  </si>
  <si>
    <t xml:space="preserve">Professor, Department of Horticultural Science, North Carolina State </t>
  </si>
  <si>
    <t>Stacy Marshall</t>
  </si>
  <si>
    <t>North Carolina State University, Raleigh, NC 27695-8109</t>
  </si>
  <si>
    <t xml:space="preserve">Former Research Assistant, Department of Agricultural and Resource Economics,  </t>
  </si>
  <si>
    <t xml:space="preserve">Professor, Department of Agricultural and Resource Economics, North Carolina State </t>
  </si>
  <si>
    <t>Abstract</t>
  </si>
  <si>
    <t>It is also recommended that growers develop a marketing plan and have a marketing strategy before investing in a commercial wholesale nursery. Production of high value crops is a risky business and the risk increases without stable marketing outlets. In extreme cases, growers have experienced financial losses when they were not able to find a suitable market outlet and/or when they did not meet the buyer’s expectations.</t>
  </si>
  <si>
    <t>to Land, Management, and Operating Capital for Crapemyrtles</t>
  </si>
  <si>
    <t xml:space="preserve">Estimated Annual Production Costs for a 20 Acre Crapemyrtle Planting  </t>
  </si>
  <si>
    <t>to Land, Management, and Operating Capital for Crapemyrtles,</t>
  </si>
  <si>
    <t>Ted E. Bilderback</t>
  </si>
  <si>
    <t>Joe C. Neal</t>
  </si>
  <si>
    <t>Anthony V. LeBude</t>
  </si>
  <si>
    <t>The spray schedule in this budget is based on a typical year, however, as any grower knows, each year is different and therefore your pests and means of control will likely vary from what is listed. Mention of a product or vendor does not constitute a guarantee or warranty of the product, nor does it imply recommendation of one product over another. Other products may be suitable depending on soils, weather conditions, farm history, and pest pressures.</t>
  </si>
  <si>
    <t>Burlap wraps, baskets, etc.</t>
  </si>
  <si>
    <t>Per Tree</t>
  </si>
  <si>
    <t>Pruning</t>
  </si>
  <si>
    <t>Irrigate Trees</t>
  </si>
  <si>
    <t>Apply Herbicide (2X)</t>
  </si>
  <si>
    <t>Whips Storage</t>
  </si>
  <si>
    <t xml:space="preserve">It was assumed that the Crapemyrtles would be harvested at heights of 7’ to 8’ and 8’ to 10’ and the growers’ would receive $90.00 and $110.00 per tree, respectively. Given these prices, the projected return to land, management, and operating capital was $785,100 for the 20 acre planting or $66.09 per tree.  </t>
  </si>
  <si>
    <t>Our budget includes costs often ignored by prospective growers such as overhead costs, fixed labor costs, and the costs of owning equipment and machinery (excluding depreciation). Therefore we feel they depict a realistic picture of the costs associated with producing, harvesting, and marketing these trees. Despite these additional costs, production of these crops in North Carolina using recommended practices can be a profitable venture.</t>
  </si>
  <si>
    <t xml:space="preserve">This budget identifies the costs associated with growing, harvesting, and marketing a 20 acre planting of Crapemyrtles as well as the estimated returns to land management, and operating costs for each crop. The cumulative cost for Crapemyrtles was $402,900 and, assuming a loss rate of 10%, the average cost of producing, harvesting and marketing was $33.91 per tree. </t>
  </si>
  <si>
    <t>This budget is only a guide and is not meant to be a substitute for growers calculating their own costs and estimating their own returns. Costs vary from grower to grower due to market conditions, labor supply, age and condition of the machinery and equipment, managerial skill, and many other factors. Since every situation is different, it is recommended that every grower estimate their individual production, harvesting and marketing costs based on their own production techniques, price expectations, local supply of labor, and market situation.</t>
  </si>
  <si>
    <t>Projected Annual Production Costs</t>
  </si>
  <si>
    <t>Total for production of this crop</t>
  </si>
  <si>
    <t>Write in total costs for each year</t>
  </si>
  <si>
    <t>Total after each year</t>
  </si>
  <si>
    <t>Total cost for the year</t>
  </si>
  <si>
    <t>Novermber</t>
  </si>
  <si>
    <t>August</t>
  </si>
  <si>
    <t>July</t>
  </si>
  <si>
    <t>Total cost for pesticides</t>
  </si>
  <si>
    <t>thiamethoxam</t>
  </si>
  <si>
    <t>tau-fluvalinate</t>
  </si>
  <si>
    <t>spiromesifen</t>
  </si>
  <si>
    <t>spinosad</t>
  </si>
  <si>
    <t>pyriproxifen</t>
  </si>
  <si>
    <t>pyridaben</t>
  </si>
  <si>
    <t>permethrin</t>
  </si>
  <si>
    <t>novaluron</t>
  </si>
  <si>
    <t>neem oil extract</t>
  </si>
  <si>
    <t>methiocarb</t>
  </si>
  <si>
    <t>malathion</t>
  </si>
  <si>
    <t>lambda-cyhalothrin</t>
  </si>
  <si>
    <t>kinoprene</t>
  </si>
  <si>
    <t>insecticidal soap</t>
  </si>
  <si>
    <t>imidacloprid</t>
  </si>
  <si>
    <t>horticultural oil</t>
  </si>
  <si>
    <t>hexythiazox</t>
  </si>
  <si>
    <t>fenpyroximate</t>
  </si>
  <si>
    <t>clofentezine</t>
  </si>
  <si>
    <t>chlorpyrifos</t>
  </si>
  <si>
    <t>chlorfenapyry</t>
  </si>
  <si>
    <t>carbaryl</t>
  </si>
  <si>
    <t>buprofezin</t>
  </si>
  <si>
    <t>bifenthrin</t>
  </si>
  <si>
    <t>bifenazate</t>
  </si>
  <si>
    <t>Bacillus thuringiensis</t>
  </si>
  <si>
    <t>azadirachtin</t>
  </si>
  <si>
    <t>acetamiprid</t>
  </si>
  <si>
    <t>acequinocyl</t>
  </si>
  <si>
    <t>acephate</t>
  </si>
  <si>
    <t>abamectin</t>
  </si>
  <si>
    <t>EXAMPLE: abamectin</t>
  </si>
  <si>
    <t>to unit of measure</t>
  </si>
  <si>
    <t>to convert metric/english equivalents</t>
  </si>
  <si>
    <t>Chemical</t>
  </si>
  <si>
    <t xml:space="preserve">must be similar </t>
  </si>
  <si>
    <t>Use the conversion table above</t>
  </si>
  <si>
    <t>per tree</t>
  </si>
  <si>
    <t>for crop</t>
  </si>
  <si>
    <t>$/acre</t>
  </si>
  <si>
    <t>applications</t>
  </si>
  <si>
    <t>per acre,</t>
  </si>
  <si>
    <t>of measure</t>
  </si>
  <si>
    <t>(e.g., total ounces in product)</t>
  </si>
  <si>
    <t>Product price</t>
  </si>
  <si>
    <t xml:space="preserve">Total cost </t>
  </si>
  <si>
    <t xml:space="preserve">Total Cost </t>
  </si>
  <si>
    <t>Total Cost</t>
  </si>
  <si>
    <t xml:space="preserve">Number of </t>
  </si>
  <si>
    <t>Amount applied</t>
  </si>
  <si>
    <t xml:space="preserve">Cost per unit </t>
  </si>
  <si>
    <t>Total units of measure in product</t>
  </si>
  <si>
    <t>Totals</t>
  </si>
  <si>
    <t>grams</t>
  </si>
  <si>
    <t>pounds</t>
  </si>
  <si>
    <t>ounces</t>
  </si>
  <si>
    <t>Enter amount here</t>
  </si>
  <si>
    <t>Weights</t>
  </si>
  <si>
    <t>Weight or mass conversions</t>
  </si>
  <si>
    <t>Liters</t>
  </si>
  <si>
    <t>gallon (128 fl. oz)</t>
  </si>
  <si>
    <t>quart (32 fl. oz)</t>
  </si>
  <si>
    <t>pint  (16 fl.oz)</t>
  </si>
  <si>
    <t>tablespoon</t>
  </si>
  <si>
    <t>teaspoon</t>
  </si>
  <si>
    <t>fluid ounces</t>
  </si>
  <si>
    <t>Fluids</t>
  </si>
  <si>
    <t>Unit of measurement</t>
  </si>
  <si>
    <t>Total number of tree planted</t>
  </si>
  <si>
    <t>Fluid conversions</t>
  </si>
  <si>
    <t>Number of trees planted per acre</t>
  </si>
  <si>
    <t>Converts amount entered to these units</t>
  </si>
  <si>
    <t>Total number of trees planted</t>
  </si>
  <si>
    <t>Product price (US$)</t>
  </si>
  <si>
    <t>Active ingredient</t>
  </si>
  <si>
    <t>Chemical class</t>
  </si>
  <si>
    <t>FRAC</t>
  </si>
  <si>
    <t>EXAMPLE: Daconil Ultrex</t>
  </si>
  <si>
    <t>chlorothalonil</t>
  </si>
  <si>
    <t>chloronitriles (phthalonitriles)</t>
  </si>
  <si>
    <t>M5</t>
  </si>
  <si>
    <t>Heritage 50 WDG</t>
  </si>
  <si>
    <t>azoxystrobin</t>
  </si>
  <si>
    <t>methoxy-acrylates</t>
  </si>
  <si>
    <t>Daconil Ultrex 82.5 WDG</t>
  </si>
  <si>
    <t>Daconil ZN</t>
  </si>
  <si>
    <t>Spectro 90 WDG</t>
  </si>
  <si>
    <t>chlorothalonil + thiophanate-methyl</t>
  </si>
  <si>
    <t>chloronitriles (phthalonitriles) + thiophanates</t>
  </si>
  <si>
    <t>M5 + 1</t>
  </si>
  <si>
    <t>Kocide 2000</t>
  </si>
  <si>
    <t>copper hydroxide</t>
  </si>
  <si>
    <t>inorganic</t>
  </si>
  <si>
    <t>M1</t>
  </si>
  <si>
    <t>Junction</t>
  </si>
  <si>
    <t>copper hydroxide + mancozeb</t>
  </si>
  <si>
    <t>inorganic + dithio-carbamates and relatives</t>
  </si>
  <si>
    <t>M1+ M3</t>
  </si>
  <si>
    <t>Phyton 27</t>
  </si>
  <si>
    <t>copper sulfate pentahydrate</t>
  </si>
  <si>
    <t>Segway</t>
  </si>
  <si>
    <t>cyazofamid</t>
  </si>
  <si>
    <t>cyano-imidazole</t>
  </si>
  <si>
    <t>Contrast 70 WSP</t>
  </si>
  <si>
    <t>flutolanil</t>
  </si>
  <si>
    <t>phenyl-benzamides</t>
  </si>
  <si>
    <t>Aliette 80 WP</t>
  </si>
  <si>
    <t>fosetyl-AL</t>
  </si>
  <si>
    <t>ethyl phosphonates</t>
  </si>
  <si>
    <t>Sunspray</t>
  </si>
  <si>
    <t>diverse</t>
  </si>
  <si>
    <t>NC</t>
  </si>
  <si>
    <t>Sun Ultra-Fine Spray oil</t>
  </si>
  <si>
    <t>Dithane 75DF</t>
  </si>
  <si>
    <t>mancozeb</t>
  </si>
  <si>
    <t>dithio-carbamates and relatives</t>
  </si>
  <si>
    <t>M3</t>
  </si>
  <si>
    <t>Fore 80 WSP</t>
  </si>
  <si>
    <t>Mancozeb DG</t>
  </si>
  <si>
    <t>Pentathlon LF</t>
  </si>
  <si>
    <t>Protect DF</t>
  </si>
  <si>
    <t>Subdue MAXX</t>
  </si>
  <si>
    <t>mefenoxam (metalaxyl-M)</t>
  </si>
  <si>
    <t>acylalanines</t>
  </si>
  <si>
    <t>Eagle 20EW</t>
  </si>
  <si>
    <t>myclobutanil</t>
  </si>
  <si>
    <t>triazoles</t>
  </si>
  <si>
    <t>Eagle 40WP</t>
  </si>
  <si>
    <t>Systhane 40 WSP</t>
  </si>
  <si>
    <t>Banner MAXX</t>
  </si>
  <si>
    <t>propiconazole</t>
  </si>
  <si>
    <t>Pageant</t>
  </si>
  <si>
    <t>pyraclostrobin + boscalid</t>
  </si>
  <si>
    <t>methoxy-carbamates + pyridine-carboxamides</t>
  </si>
  <si>
    <t>11 + 7</t>
  </si>
  <si>
    <t>Agri-mycin 17</t>
  </si>
  <si>
    <t>streptomycin sulfate</t>
  </si>
  <si>
    <t>glucopyranosyl</t>
  </si>
  <si>
    <t>All Ban Flo</t>
  </si>
  <si>
    <t>thiophanate-methyl</t>
  </si>
  <si>
    <t>thiophanates</t>
  </si>
  <si>
    <t>Cleary's 3336 F</t>
  </si>
  <si>
    <t>Cleary's 3336 WP</t>
  </si>
  <si>
    <t>Zyban WSB</t>
  </si>
  <si>
    <t>Bayleton 50 WSP</t>
  </si>
  <si>
    <t>triadimefon</t>
  </si>
  <si>
    <t>Strike 25 WDG</t>
  </si>
  <si>
    <t>Add in others below</t>
  </si>
  <si>
    <t>http://www.frac.info/frac/index.htm</t>
  </si>
  <si>
    <t>for info on modes of action</t>
  </si>
  <si>
    <t>Monthly costs per year</t>
  </si>
  <si>
    <t>Postemergence Herbicides</t>
  </si>
  <si>
    <t>HRAC</t>
  </si>
  <si>
    <t>EXAMPLE: Acclaim Extra</t>
  </si>
  <si>
    <t>fenoxaprop</t>
  </si>
  <si>
    <t>aryloxphenoxyproprionate</t>
  </si>
  <si>
    <t>A</t>
  </si>
  <si>
    <t>Acclaim extra</t>
  </si>
  <si>
    <t>Asulox</t>
  </si>
  <si>
    <t>asulam</t>
  </si>
  <si>
    <t>carbamate</t>
  </si>
  <si>
    <t>I</t>
  </si>
  <si>
    <t>Basagran TO</t>
  </si>
  <si>
    <t>bentazon</t>
  </si>
  <si>
    <t>benzothiazinone</t>
  </si>
  <si>
    <t>C3</t>
  </si>
  <si>
    <t>Casoron 4G</t>
  </si>
  <si>
    <t>dichlobenil</t>
  </si>
  <si>
    <t>benzonitrile</t>
  </si>
  <si>
    <t>L</t>
  </si>
  <si>
    <t>Casoron CS</t>
  </si>
  <si>
    <t>Envoy Plus</t>
  </si>
  <si>
    <t>clethodim</t>
  </si>
  <si>
    <t>cyclohexanedione</t>
  </si>
  <si>
    <t>Final 1L</t>
  </si>
  <si>
    <t>glufosinate-ammomium</t>
  </si>
  <si>
    <t>phosphinic acid</t>
  </si>
  <si>
    <t>Fusilade II</t>
  </si>
  <si>
    <t>fluazifop-P-butyl</t>
  </si>
  <si>
    <t>A/I</t>
  </si>
  <si>
    <t>Goal 2XL</t>
  </si>
  <si>
    <t>oxyfluorfen</t>
  </si>
  <si>
    <t>diphenyl ether</t>
  </si>
  <si>
    <t>E</t>
  </si>
  <si>
    <t>Goal tender</t>
  </si>
  <si>
    <t>Gramoxone Inteon</t>
  </si>
  <si>
    <t>paraquat</t>
  </si>
  <si>
    <t>bipyridylium</t>
  </si>
  <si>
    <t>D</t>
  </si>
  <si>
    <t>Lontrel</t>
  </si>
  <si>
    <t>clopyralid</t>
  </si>
  <si>
    <t>pyridine compound</t>
  </si>
  <si>
    <t>O</t>
  </si>
  <si>
    <t>Reward 2L</t>
  </si>
  <si>
    <t>diquat</t>
  </si>
  <si>
    <t>B</t>
  </si>
  <si>
    <t>Roundup (various products)</t>
  </si>
  <si>
    <t>glyphosate</t>
  </si>
  <si>
    <t>phosphonoglycine</t>
  </si>
  <si>
    <t>G</t>
  </si>
  <si>
    <t>Scythe</t>
  </si>
  <si>
    <t>pelargonic acid</t>
  </si>
  <si>
    <t>biopesticide</t>
  </si>
  <si>
    <t>Z</t>
  </si>
  <si>
    <t>Segment</t>
  </si>
  <si>
    <t>sethoxydim</t>
  </si>
  <si>
    <t>cyclohexadione</t>
  </si>
  <si>
    <t>Preemergebce Herbicides</t>
  </si>
  <si>
    <t>Barricade 4L</t>
  </si>
  <si>
    <t>prodiamine</t>
  </si>
  <si>
    <t>dinitroaniline</t>
  </si>
  <si>
    <t>K1</t>
  </si>
  <si>
    <t>Barricade 65DG</t>
  </si>
  <si>
    <t xml:space="preserve">Broadstar </t>
  </si>
  <si>
    <t>flumioxazin</t>
  </si>
  <si>
    <t>phenylphthalimide</t>
  </si>
  <si>
    <t>Casoron 4 GR</t>
  </si>
  <si>
    <t>dichobenil</t>
  </si>
  <si>
    <t>substitued benzene</t>
  </si>
  <si>
    <t>Corral 2.68G</t>
  </si>
  <si>
    <t>pendimethalin</t>
  </si>
  <si>
    <t>Kl</t>
  </si>
  <si>
    <t>Devrinol 2G</t>
  </si>
  <si>
    <t>napropamide</t>
  </si>
  <si>
    <t>alkanamide</t>
  </si>
  <si>
    <t>K3</t>
  </si>
  <si>
    <t>Devrinol 50DF</t>
  </si>
  <si>
    <t>Dimension Ultra 40WP</t>
  </si>
  <si>
    <t>dithiopyr</t>
  </si>
  <si>
    <t>pyridazinone</t>
  </si>
  <si>
    <t>F1</t>
  </si>
  <si>
    <t>Freehand 1.75G</t>
  </si>
  <si>
    <t>dimethenamid-P + pendimethalin</t>
  </si>
  <si>
    <t>amide plus dinitroanaline</t>
  </si>
  <si>
    <t>K3, K1</t>
  </si>
  <si>
    <t>Gallery</t>
  </si>
  <si>
    <t xml:space="preserve">isoxaben </t>
  </si>
  <si>
    <t>amide</t>
  </si>
  <si>
    <t>Jewel 3.25G</t>
  </si>
  <si>
    <t>oxadiazon + pendimethalin</t>
  </si>
  <si>
    <t>oxadiazole + dinitroaniline</t>
  </si>
  <si>
    <t>E, K1</t>
  </si>
  <si>
    <t>OH2 2 GR</t>
  </si>
  <si>
    <t>oxyfluorfen + pendimethaline</t>
  </si>
  <si>
    <t>diphenyl ether + dinitroaniline</t>
  </si>
  <si>
    <t>Pendulum 2GR</t>
  </si>
  <si>
    <t>Pendulum Aqua Cap 3.8ACS</t>
  </si>
  <si>
    <t>Pendulum3.3 EC</t>
  </si>
  <si>
    <t>Pennant Magnum 7.62</t>
  </si>
  <si>
    <t>s-metolachlor</t>
  </si>
  <si>
    <t>choroacetanilide</t>
  </si>
  <si>
    <t>Predict 78.6DF</t>
  </si>
  <si>
    <t>norflurazon</t>
  </si>
  <si>
    <t>Regal Kade 0.5G</t>
  </si>
  <si>
    <t>Regal O-O 3GR</t>
  </si>
  <si>
    <t>oxyfluorfen + oxadiazon</t>
  </si>
  <si>
    <t>diphenyl ether + oxadiazole</t>
  </si>
  <si>
    <t>Regalstar 1.2GR</t>
  </si>
  <si>
    <t>oxadiazon + prodiamine</t>
  </si>
  <si>
    <t>Ronstar 50WSP</t>
  </si>
  <si>
    <t>oxadiazon</t>
  </si>
  <si>
    <t>oxadiazole</t>
  </si>
  <si>
    <t>Ronstar G</t>
  </si>
  <si>
    <t>Rout 3G</t>
  </si>
  <si>
    <t>oxyfluorfen + oryzalin</t>
  </si>
  <si>
    <t>Showcase 2.5G</t>
  </si>
  <si>
    <t>isoxaben + trifluralin + oxyfluorfen</t>
  </si>
  <si>
    <t>benzamide + dinitroaniline + diphenyl ether</t>
  </si>
  <si>
    <t>L, K1</t>
  </si>
  <si>
    <t>Simazine 4L</t>
  </si>
  <si>
    <t xml:space="preserve">simazine </t>
  </si>
  <si>
    <t>triazine</t>
  </si>
  <si>
    <t>C1</t>
  </si>
  <si>
    <t>Simazine 90DF</t>
  </si>
  <si>
    <t>Snapshot 2.5TG</t>
  </si>
  <si>
    <t xml:space="preserve">isoxaben + trifluralin </t>
  </si>
  <si>
    <t xml:space="preserve">benzamide + dinitroaniline </t>
  </si>
  <si>
    <t>Sureguard</t>
  </si>
  <si>
    <t>Surflan 4AS</t>
  </si>
  <si>
    <t>oryzalin</t>
  </si>
  <si>
    <t>Surflan 85DF</t>
  </si>
  <si>
    <t>Tower 6L</t>
  </si>
  <si>
    <t>dimethenamid-p</t>
  </si>
  <si>
    <t>Treflan 5G</t>
  </si>
  <si>
    <t>trifluralin</t>
  </si>
  <si>
    <t>Weedfree 75, 5GR</t>
  </si>
  <si>
    <t>oxyfluorfen + trifluralin</t>
  </si>
  <si>
    <t xml:space="preserve">diphenyl ether + dinitroaniline </t>
  </si>
  <si>
    <t>E. K1</t>
  </si>
  <si>
    <t>XL 2 GR</t>
  </si>
  <si>
    <t>benefin (benflurlain) + oryzalin</t>
  </si>
  <si>
    <t>Apply Insecticides and Fungicides</t>
  </si>
  <si>
    <t>Irrigate Whips using either drip or hose and gun</t>
  </si>
  <si>
    <t>Irrigate Trees using either drip or hose and gun</t>
  </si>
  <si>
    <t>Summary</t>
  </si>
  <si>
    <t xml:space="preserve">Percent </t>
  </si>
  <si>
    <t>It is used throughout the equations below.</t>
  </si>
  <si>
    <t>Number trees</t>
  </si>
  <si>
    <t>Trees planted per Acre</t>
  </si>
  <si>
    <t>harvested</t>
  </si>
  <si>
    <t>Total Acres</t>
  </si>
  <si>
    <t>Number of unsalable or dead trees</t>
  </si>
  <si>
    <t>Fill in the information below for crape myrtles planted.</t>
  </si>
  <si>
    <t>Trees left for sale</t>
  </si>
  <si>
    <t>discounted</t>
  </si>
  <si>
    <t>6-8'</t>
  </si>
  <si>
    <t>Total Acreage</t>
  </si>
  <si>
    <t xml:space="preserve">This budget presents the estimated costs of producing, harvesting, and marketing Crapemyrtles in North Carolina along with the projected returns to land, management and operating costs that can be useful for farmers considering starting a commercial wholesale nursery or expanding an existing operation. The budget was developed for a representative 20 acre planting with drip irrigation.  Updates in 2012 include areas for you to write in your costs and keep track of production budgets for any size operation. For example, growers can input 1 acre and the number of trees they have planted on that acre.  Additionally insecticide, fungicide and herbicide worksheets were included to keep track of all pesticides and their costs appled over the year and throughtout the production cycle.  It was assumed that the management would be near optimal and that all currently recommended practices by the Agricultural Extension Service would be followed. Any mention of a product or vendor does not constitute a guarantee or warranty of the product, nor does it imply recommendation of one product over another. Other products may also be suitable depending on soils, weather conditions, nursery history, and pest pressures.  </t>
  </si>
  <si>
    <t>Assistant Professor, Department of Entomology, Noth Carolina State</t>
  </si>
  <si>
    <t>Steve Frank</t>
  </si>
  <si>
    <t>University, Raleigh, NC 27695</t>
  </si>
  <si>
    <t xml:space="preserve">Associate Professor, Department of Horticultural Science, North Carolina State </t>
  </si>
  <si>
    <t>University, 455 Research Drive, Mills River, NC 28732-7723</t>
  </si>
  <si>
    <t>Add your Acreage and Planting numbers here first to help figure pesticide costs</t>
  </si>
  <si>
    <t xml:space="preserve">Number of acres planted </t>
  </si>
  <si>
    <t>IRAC Modes of Action</t>
  </si>
  <si>
    <t>1B</t>
  </si>
  <si>
    <t>20B</t>
  </si>
  <si>
    <t>4A</t>
  </si>
  <si>
    <t>18B</t>
  </si>
  <si>
    <t>11B2</t>
  </si>
  <si>
    <t>Beaveria bassiana</t>
  </si>
  <si>
    <t>-</t>
  </si>
  <si>
    <t>1A</t>
  </si>
  <si>
    <t>10A</t>
  </si>
  <si>
    <t>clothianidin</t>
  </si>
  <si>
    <t>cyfluthrin</t>
  </si>
  <si>
    <t>cyromazine</t>
  </si>
  <si>
    <t>diflubenzuron</t>
  </si>
  <si>
    <t>dinotefuran</t>
  </si>
  <si>
    <t>etoxazole</t>
  </si>
  <si>
    <t>10B</t>
  </si>
  <si>
    <t>fenpropathrin</t>
  </si>
  <si>
    <t>7A</t>
  </si>
  <si>
    <t>metaldehyde</t>
  </si>
  <si>
    <t>pyrethrum</t>
  </si>
  <si>
    <t>7C</t>
  </si>
  <si>
    <t>pyrmetrozine</t>
  </si>
  <si>
    <t>9B</t>
  </si>
  <si>
    <t>spirotetamat</t>
  </si>
  <si>
    <t>tebufenozide</t>
  </si>
  <si>
    <t>18A</t>
  </si>
  <si>
    <t>Enter more below</t>
  </si>
  <si>
    <t>Month</t>
  </si>
  <si>
    <t>Yearly Costs</t>
  </si>
  <si>
    <t>Enter the number of acres planted and trees per acre in order to use worksheet below</t>
  </si>
  <si>
    <t>Number of acres planted</t>
  </si>
  <si>
    <t>Write in the costs for each month here, and on the sheet labeled "Your Costs"</t>
  </si>
  <si>
    <t>Cost for each month</t>
  </si>
  <si>
    <t>http://www.irac-online.org/teams/mode-of-action/</t>
  </si>
  <si>
    <t>Estimated Annual Production Costs for a Crapemyrtle Plantings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</si>
</sst>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00"/>
    <numFmt numFmtId="166" formatCode="0.0"/>
  </numFmts>
  <fonts count="56">
    <font>
      <sz val="11"/>
      <color theme="1"/>
      <name val="Calibri"/>
      <family val="2"/>
    </font>
    <font>
      <sz val="11"/>
      <color indexed="8"/>
      <name val="Calibri"/>
      <family val="2"/>
    </font>
    <font>
      <b/>
      <sz val="11"/>
      <name val="Arial"/>
      <family val="2"/>
    </font>
    <font>
      <sz val="10"/>
      <name val="Arial"/>
      <family val="2"/>
    </font>
    <font>
      <b/>
      <sz val="11"/>
      <color indexed="8"/>
      <name val="Calibri"/>
      <family val="2"/>
    </font>
    <font>
      <sz val="10"/>
      <color indexed="8"/>
      <name val="Arial"/>
      <family val="2"/>
    </font>
    <font>
      <b/>
      <sz val="10"/>
      <color indexed="8"/>
      <name val="Arial"/>
      <family val="2"/>
    </font>
    <font>
      <b/>
      <sz val="11"/>
      <color indexed="8"/>
      <name val="Arial"/>
      <family val="2"/>
    </font>
    <font>
      <sz val="8"/>
      <name val="Calibri"/>
      <family val="2"/>
    </font>
    <font>
      <sz val="9"/>
      <name val="Tahoma"/>
      <family val="2"/>
    </font>
    <font>
      <b/>
      <sz val="9"/>
      <name val="Tahoma"/>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i/>
      <sz val="11"/>
      <color indexed="8"/>
      <name val="Calibri"/>
      <family val="2"/>
    </font>
    <font>
      <sz val="16"/>
      <color indexed="8"/>
      <name val="Calibri"/>
      <family val="2"/>
    </font>
    <font>
      <b/>
      <sz val="16"/>
      <color indexed="8"/>
      <name val="Calibri"/>
      <family val="2"/>
    </font>
    <font>
      <b/>
      <sz val="18"/>
      <color indexed="8"/>
      <name val="Calibri"/>
      <family val="2"/>
    </font>
    <font>
      <b/>
      <sz val="14"/>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1"/>
      <color theme="1"/>
      <name val="Calibri"/>
      <family val="2"/>
    </font>
    <font>
      <sz val="16"/>
      <color theme="1"/>
      <name val="Calibri"/>
      <family val="2"/>
    </font>
    <font>
      <b/>
      <sz val="16"/>
      <color theme="1"/>
      <name val="Calibri"/>
      <family val="2"/>
    </font>
    <font>
      <b/>
      <sz val="18"/>
      <color theme="1"/>
      <name val="Calibri"/>
      <family val="2"/>
    </font>
    <font>
      <b/>
      <sz val="14"/>
      <color theme="1"/>
      <name val="Calibri"/>
      <family val="2"/>
    </font>
    <font>
      <b/>
      <sz val="12"/>
      <color theme="1"/>
      <name val="Calibri"/>
      <family val="2"/>
    </font>
    <font>
      <b/>
      <sz val="8"/>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
      <patternFill patternType="solid">
        <fgColor theme="0" tint="-0.34997999668121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top/>
      <bottom style="medium"/>
    </border>
    <border>
      <left/>
      <right/>
      <top/>
      <bottom style="mediumDashDot"/>
    </border>
    <border>
      <left/>
      <right/>
      <top/>
      <bottom style="thin"/>
    </border>
    <border>
      <left/>
      <right/>
      <top style="thin"/>
      <bottom style="medium"/>
    </border>
    <border>
      <left/>
      <right/>
      <top style="thin"/>
      <bottom/>
    </border>
    <border>
      <left/>
      <right/>
      <top style="medium"/>
      <bottom style="medium"/>
    </border>
    <border>
      <left>
        <color indexed="63"/>
      </left>
      <right>
        <color indexed="63"/>
      </right>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1" fillId="31" borderId="7" applyNumberFormat="0" applyFont="0" applyAlignment="0" applyProtection="0"/>
    <xf numFmtId="0" fontId="45" fillId="26" borderId="8" applyNumberFormat="0" applyAlignment="0" applyProtection="0"/>
    <xf numFmtId="9" fontId="1"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82">
    <xf numFmtId="0" fontId="0" fillId="0" borderId="0" xfId="0" applyFont="1" applyAlignment="1">
      <alignment/>
    </xf>
    <xf numFmtId="3" fontId="0" fillId="0" borderId="0" xfId="0" applyNumberFormat="1" applyAlignment="1">
      <alignment horizontal="center"/>
    </xf>
    <xf numFmtId="0" fontId="0" fillId="0" borderId="0" xfId="0" applyAlignment="1">
      <alignment horizontal="center"/>
    </xf>
    <xf numFmtId="9" fontId="0" fillId="0" borderId="0" xfId="0" applyNumberFormat="1" applyAlignment="1">
      <alignment horizontal="center"/>
    </xf>
    <xf numFmtId="0" fontId="0" fillId="0" borderId="10" xfId="0" applyBorder="1" applyAlignment="1">
      <alignment/>
    </xf>
    <xf numFmtId="0" fontId="0" fillId="0" borderId="10" xfId="0" applyBorder="1" applyAlignment="1">
      <alignment horizontal="center"/>
    </xf>
    <xf numFmtId="0" fontId="0" fillId="0" borderId="11" xfId="0" applyBorder="1" applyAlignment="1">
      <alignment/>
    </xf>
    <xf numFmtId="0" fontId="0" fillId="0" borderId="11" xfId="0" applyBorder="1" applyAlignment="1">
      <alignment horizontal="center"/>
    </xf>
    <xf numFmtId="164" fontId="0" fillId="0" borderId="0" xfId="0" applyNumberFormat="1" applyAlignment="1">
      <alignment/>
    </xf>
    <xf numFmtId="164" fontId="0" fillId="0" borderId="11" xfId="0" applyNumberFormat="1" applyBorder="1" applyAlignment="1">
      <alignment/>
    </xf>
    <xf numFmtId="3" fontId="0" fillId="0" borderId="11" xfId="0" applyNumberFormat="1" applyBorder="1" applyAlignment="1">
      <alignment horizontal="center"/>
    </xf>
    <xf numFmtId="0" fontId="0" fillId="0" borderId="12" xfId="0" applyBorder="1" applyAlignment="1">
      <alignment/>
    </xf>
    <xf numFmtId="3" fontId="0" fillId="0" borderId="12" xfId="0" applyNumberFormat="1" applyBorder="1" applyAlignment="1">
      <alignment horizontal="center"/>
    </xf>
    <xf numFmtId="164" fontId="0" fillId="0" borderId="0" xfId="0" applyNumberFormat="1" applyAlignment="1">
      <alignment horizontal="center"/>
    </xf>
    <xf numFmtId="9" fontId="0" fillId="0" borderId="11" xfId="0" applyNumberFormat="1" applyBorder="1" applyAlignment="1">
      <alignment horizontal="center"/>
    </xf>
    <xf numFmtId="0" fontId="0" fillId="0" borderId="0" xfId="0" applyBorder="1" applyAlignment="1">
      <alignment/>
    </xf>
    <xf numFmtId="3" fontId="0" fillId="0" borderId="0" xfId="0" applyNumberFormat="1" applyAlignment="1">
      <alignment/>
    </xf>
    <xf numFmtId="164" fontId="0" fillId="0" borderId="11" xfId="0" applyNumberFormat="1" applyBorder="1" applyAlignment="1">
      <alignment horizontal="center"/>
    </xf>
    <xf numFmtId="9" fontId="0" fillId="0" borderId="0" xfId="0" applyNumberFormat="1" applyAlignment="1">
      <alignment/>
    </xf>
    <xf numFmtId="164" fontId="0" fillId="32" borderId="0" xfId="0" applyNumberFormat="1" applyFill="1" applyAlignment="1">
      <alignment horizontal="center"/>
    </xf>
    <xf numFmtId="164" fontId="0" fillId="0" borderId="12" xfId="0" applyNumberFormat="1" applyBorder="1" applyAlignment="1">
      <alignment horizontal="center"/>
    </xf>
    <xf numFmtId="3" fontId="0" fillId="0" borderId="0" xfId="0" applyNumberFormat="1" applyBorder="1" applyAlignment="1">
      <alignment horizontal="center"/>
    </xf>
    <xf numFmtId="9" fontId="0" fillId="0" borderId="13" xfId="0" applyNumberFormat="1" applyBorder="1" applyAlignment="1">
      <alignment horizontal="center"/>
    </xf>
    <xf numFmtId="3" fontId="0" fillId="0" borderId="13" xfId="0" applyNumberFormat="1" applyBorder="1" applyAlignment="1">
      <alignment horizontal="center"/>
    </xf>
    <xf numFmtId="164" fontId="0" fillId="0" borderId="13" xfId="0" applyNumberFormat="1" applyBorder="1" applyAlignment="1">
      <alignment/>
    </xf>
    <xf numFmtId="0" fontId="0" fillId="0" borderId="0" xfId="0" applyAlignment="1">
      <alignment horizontal="left"/>
    </xf>
    <xf numFmtId="0" fontId="0" fillId="0" borderId="11" xfId="0" applyBorder="1" applyAlignment="1">
      <alignment horizontal="left"/>
    </xf>
    <xf numFmtId="0" fontId="0" fillId="0" borderId="0" xfId="0" applyFill="1" applyBorder="1" applyAlignment="1">
      <alignment/>
    </xf>
    <xf numFmtId="164" fontId="0" fillId="0" borderId="0" xfId="0" applyNumberFormat="1" applyBorder="1" applyAlignment="1">
      <alignment horizontal="center"/>
    </xf>
    <xf numFmtId="0" fontId="0" fillId="0" borderId="0" xfId="0" applyBorder="1" applyAlignment="1">
      <alignment horizontal="center"/>
    </xf>
    <xf numFmtId="4" fontId="0" fillId="0" borderId="0" xfId="0" applyNumberFormat="1" applyAlignment="1">
      <alignment/>
    </xf>
    <xf numFmtId="4" fontId="0" fillId="0" borderId="0" xfId="0" applyNumberFormat="1" applyFill="1" applyAlignment="1">
      <alignment/>
    </xf>
    <xf numFmtId="0" fontId="0" fillId="0" borderId="13" xfId="0" applyBorder="1" applyAlignment="1">
      <alignment horizontal="center"/>
    </xf>
    <xf numFmtId="0" fontId="4" fillId="0" borderId="0" xfId="0" applyFont="1" applyAlignment="1">
      <alignment/>
    </xf>
    <xf numFmtId="4" fontId="0" fillId="0" borderId="0" xfId="0" applyNumberFormat="1" applyBorder="1" applyAlignment="1">
      <alignment/>
    </xf>
    <xf numFmtId="0" fontId="4" fillId="0" borderId="0" xfId="0" applyFont="1" applyAlignment="1">
      <alignment horizontal="left"/>
    </xf>
    <xf numFmtId="0" fontId="4" fillId="0" borderId="0" xfId="0" applyFont="1" applyFill="1" applyAlignment="1">
      <alignment/>
    </xf>
    <xf numFmtId="0" fontId="2" fillId="0" borderId="0" xfId="0" applyFont="1" applyAlignment="1">
      <alignment horizontal="center"/>
    </xf>
    <xf numFmtId="0" fontId="4" fillId="0" borderId="10" xfId="0" applyFont="1" applyBorder="1" applyAlignment="1">
      <alignment horizontal="center"/>
    </xf>
    <xf numFmtId="0" fontId="4" fillId="0" borderId="11" xfId="0" applyFont="1" applyBorder="1" applyAlignment="1">
      <alignment/>
    </xf>
    <xf numFmtId="0" fontId="4" fillId="0" borderId="11" xfId="0" applyFont="1" applyBorder="1" applyAlignment="1">
      <alignment horizontal="center"/>
    </xf>
    <xf numFmtId="0" fontId="2" fillId="0" borderId="0" xfId="0" applyFont="1" applyAlignment="1">
      <alignment/>
    </xf>
    <xf numFmtId="0" fontId="3" fillId="0" borderId="0" xfId="0" applyFont="1" applyAlignment="1">
      <alignment/>
    </xf>
    <xf numFmtId="0" fontId="5" fillId="0" borderId="0" xfId="0" applyFont="1" applyAlignment="1">
      <alignment horizontal="justify"/>
    </xf>
    <xf numFmtId="0" fontId="5" fillId="0" borderId="0" xfId="0" applyFont="1" applyAlignment="1">
      <alignment wrapText="1"/>
    </xf>
    <xf numFmtId="0" fontId="6" fillId="0" borderId="0" xfId="0" applyFont="1" applyAlignment="1">
      <alignment horizontal="center"/>
    </xf>
    <xf numFmtId="164" fontId="0" fillId="0" borderId="13" xfId="0" applyNumberFormat="1" applyBorder="1" applyAlignment="1">
      <alignment horizontal="center"/>
    </xf>
    <xf numFmtId="164" fontId="4" fillId="32" borderId="14" xfId="0" applyNumberFormat="1" applyFont="1" applyFill="1" applyBorder="1" applyAlignment="1">
      <alignment horizontal="center"/>
    </xf>
    <xf numFmtId="164" fontId="4" fillId="32" borderId="11" xfId="0" applyNumberFormat="1" applyFont="1" applyFill="1" applyBorder="1" applyAlignment="1">
      <alignment horizontal="center"/>
    </xf>
    <xf numFmtId="0" fontId="5" fillId="0" borderId="0" xfId="0" applyFont="1" applyAlignment="1">
      <alignment vertical="center" wrapText="1"/>
    </xf>
    <xf numFmtId="164" fontId="4" fillId="32" borderId="0" xfId="0" applyNumberFormat="1" applyFont="1" applyFill="1" applyAlignment="1">
      <alignment horizontal="center"/>
    </xf>
    <xf numFmtId="164" fontId="4" fillId="32" borderId="10" xfId="0" applyNumberFormat="1" applyFont="1" applyFill="1" applyBorder="1" applyAlignment="1">
      <alignment horizontal="center"/>
    </xf>
    <xf numFmtId="164" fontId="0" fillId="32" borderId="12" xfId="0" applyNumberFormat="1" applyFill="1" applyBorder="1" applyAlignment="1">
      <alignment/>
    </xf>
    <xf numFmtId="164" fontId="4" fillId="32" borderId="11" xfId="0" applyNumberFormat="1" applyFont="1" applyFill="1" applyBorder="1" applyAlignment="1">
      <alignment/>
    </xf>
    <xf numFmtId="0" fontId="5" fillId="0" borderId="0" xfId="0" applyFont="1" applyAlignment="1">
      <alignment horizontal="justify" vertical="center"/>
    </xf>
    <xf numFmtId="0" fontId="0" fillId="0" borderId="0" xfId="0" applyAlignment="1">
      <alignment/>
    </xf>
    <xf numFmtId="0" fontId="0" fillId="0" borderId="0" xfId="0" applyAlignment="1">
      <alignment horizontal="center"/>
    </xf>
    <xf numFmtId="0" fontId="0" fillId="0" borderId="10" xfId="0" applyBorder="1" applyAlignment="1">
      <alignment horizontal="center"/>
    </xf>
    <xf numFmtId="0" fontId="0" fillId="0" borderId="0" xfId="0" applyAlignment="1">
      <alignment horizontal="left"/>
    </xf>
    <xf numFmtId="0" fontId="4" fillId="0" borderId="0" xfId="0" applyFont="1" applyFill="1" applyAlignment="1">
      <alignment horizontal="left"/>
    </xf>
    <xf numFmtId="0" fontId="0" fillId="0" borderId="0" xfId="0" applyFill="1" applyAlignment="1">
      <alignment/>
    </xf>
    <xf numFmtId="0" fontId="4" fillId="0" borderId="0" xfId="0" applyFont="1" applyFill="1" applyAlignment="1">
      <alignment/>
    </xf>
    <xf numFmtId="0" fontId="0" fillId="0" borderId="0" xfId="0" applyFill="1" applyAlignment="1">
      <alignment horizontal="left"/>
    </xf>
    <xf numFmtId="0" fontId="4" fillId="0" borderId="0" xfId="0" applyFont="1" applyFill="1" applyAlignment="1" applyProtection="1">
      <alignment/>
      <protection locked="0"/>
    </xf>
    <xf numFmtId="0" fontId="0" fillId="0" borderId="0" xfId="0" applyAlignment="1">
      <alignment/>
    </xf>
    <xf numFmtId="0" fontId="0" fillId="0" borderId="0" xfId="0" applyAlignment="1">
      <alignment horizontal="center"/>
    </xf>
    <xf numFmtId="0" fontId="0" fillId="0" borderId="0" xfId="0" applyAlignment="1" applyProtection="1">
      <alignment/>
      <protection locked="0"/>
    </xf>
    <xf numFmtId="0" fontId="0" fillId="0" borderId="0" xfId="0" applyAlignment="1" applyProtection="1">
      <alignment/>
      <protection/>
    </xf>
    <xf numFmtId="0" fontId="0" fillId="0" borderId="0" xfId="0" applyAlignment="1" applyProtection="1">
      <alignment horizontal="left"/>
      <protection locked="0"/>
    </xf>
    <xf numFmtId="0" fontId="0" fillId="0" borderId="0" xfId="0" applyAlignment="1" applyProtection="1">
      <alignment wrapText="1"/>
      <protection locked="0"/>
    </xf>
    <xf numFmtId="0" fontId="0" fillId="0" borderId="0" xfId="0" applyAlignment="1" applyProtection="1">
      <alignment horizontal="center"/>
      <protection locked="0"/>
    </xf>
    <xf numFmtId="2" fontId="0" fillId="0" borderId="0" xfId="0" applyNumberFormat="1" applyAlignment="1" applyProtection="1">
      <alignment/>
      <protection/>
    </xf>
    <xf numFmtId="2" fontId="0" fillId="0" borderId="0" xfId="0" applyNumberFormat="1" applyAlignment="1" applyProtection="1">
      <alignment horizontal="left"/>
      <protection locked="0"/>
    </xf>
    <xf numFmtId="2" fontId="0" fillId="0" borderId="0" xfId="0" applyNumberFormat="1" applyAlignment="1" applyProtection="1">
      <alignment horizontal="center"/>
      <protection/>
    </xf>
    <xf numFmtId="2" fontId="47" fillId="0" borderId="0" xfId="0" applyNumberFormat="1" applyFont="1" applyAlignment="1" applyProtection="1">
      <alignment horizontal="center"/>
      <protection/>
    </xf>
    <xf numFmtId="0" fontId="47" fillId="0" borderId="0" xfId="0" applyFont="1" applyAlignment="1" applyProtection="1">
      <alignment/>
      <protection locked="0"/>
    </xf>
    <xf numFmtId="166" fontId="0" fillId="0" borderId="0" xfId="0" applyNumberFormat="1" applyAlignment="1" applyProtection="1">
      <alignment/>
      <protection locked="0"/>
    </xf>
    <xf numFmtId="166" fontId="0" fillId="0" borderId="0" xfId="0" applyNumberFormat="1" applyAlignment="1" applyProtection="1">
      <alignment horizontal="center"/>
      <protection/>
    </xf>
    <xf numFmtId="166" fontId="0" fillId="0" borderId="0" xfId="0" applyNumberFormat="1" applyAlignment="1" applyProtection="1">
      <alignment horizontal="center"/>
      <protection locked="0"/>
    </xf>
    <xf numFmtId="0" fontId="0" fillId="0" borderId="0" xfId="0" applyAlignment="1" applyProtection="1">
      <alignment horizontal="center"/>
      <protection locked="0"/>
    </xf>
    <xf numFmtId="0" fontId="0" fillId="0" borderId="0" xfId="0" applyAlignment="1" applyProtection="1">
      <alignment/>
      <protection locked="0"/>
    </xf>
    <xf numFmtId="0" fontId="0" fillId="0" borderId="0" xfId="0" applyAlignment="1" applyProtection="1">
      <alignment horizontal="center"/>
      <protection/>
    </xf>
    <xf numFmtId="0" fontId="47" fillId="0" borderId="0" xfId="0" applyFont="1" applyAlignment="1" applyProtection="1">
      <alignment/>
      <protection/>
    </xf>
    <xf numFmtId="0" fontId="47" fillId="0" borderId="0" xfId="0" applyFont="1" applyAlignment="1" applyProtection="1">
      <alignment horizontal="center"/>
      <protection/>
    </xf>
    <xf numFmtId="0" fontId="47" fillId="0" borderId="0" xfId="0" applyFont="1" applyAlignment="1" applyProtection="1">
      <alignment horizontal="left"/>
      <protection locked="0"/>
    </xf>
    <xf numFmtId="0" fontId="47" fillId="0" borderId="0" xfId="0" applyFont="1" applyAlignment="1" applyProtection="1">
      <alignment horizontal="right"/>
      <protection/>
    </xf>
    <xf numFmtId="0" fontId="0" fillId="0" borderId="0" xfId="0" applyAlignment="1" applyProtection="1">
      <alignment horizontal="right"/>
      <protection/>
    </xf>
    <xf numFmtId="0" fontId="49" fillId="0" borderId="0" xfId="0" applyFont="1" applyAlignment="1" applyProtection="1">
      <alignment/>
      <protection locked="0"/>
    </xf>
    <xf numFmtId="0" fontId="47" fillId="0" borderId="0" xfId="0" applyFont="1" applyAlignment="1" applyProtection="1">
      <alignment horizontal="left"/>
      <protection/>
    </xf>
    <xf numFmtId="0" fontId="0" fillId="0" borderId="0" xfId="0" applyAlignment="1" applyProtection="1">
      <alignment horizontal="right"/>
      <protection locked="0"/>
    </xf>
    <xf numFmtId="0" fontId="0" fillId="0" borderId="0" xfId="0" applyFont="1" applyAlignment="1" applyProtection="1">
      <alignment/>
      <protection/>
    </xf>
    <xf numFmtId="0" fontId="1" fillId="0" borderId="0" xfId="0" applyFont="1" applyFill="1" applyAlignment="1">
      <alignment/>
    </xf>
    <xf numFmtId="0" fontId="47" fillId="0" borderId="0" xfId="0" applyFont="1" applyFill="1" applyAlignment="1">
      <alignment/>
    </xf>
    <xf numFmtId="0" fontId="0" fillId="0" borderId="0" xfId="0" applyFont="1" applyFill="1" applyAlignment="1">
      <alignment/>
    </xf>
    <xf numFmtId="0" fontId="2" fillId="0" borderId="0" xfId="0" applyFont="1" applyAlignment="1" applyProtection="1">
      <alignment horizontal="center"/>
      <protection locked="0"/>
    </xf>
    <xf numFmtId="0" fontId="0" fillId="0" borderId="0" xfId="0" applyBorder="1" applyAlignment="1" applyProtection="1">
      <alignment horizontal="center"/>
      <protection locked="0"/>
    </xf>
    <xf numFmtId="3" fontId="0" fillId="0" borderId="0" xfId="0" applyNumberFormat="1" applyAlignment="1" applyProtection="1">
      <alignment horizontal="right"/>
      <protection locked="0"/>
    </xf>
    <xf numFmtId="9" fontId="0" fillId="0" borderId="0" xfId="0" applyNumberFormat="1" applyAlignment="1" applyProtection="1">
      <alignment horizontal="center"/>
      <protection/>
    </xf>
    <xf numFmtId="3" fontId="0" fillId="0" borderId="0" xfId="0" applyNumberFormat="1" applyAlignment="1" applyProtection="1">
      <alignment horizontal="right"/>
      <protection/>
    </xf>
    <xf numFmtId="9" fontId="0" fillId="0" borderId="0" xfId="0" applyNumberFormat="1" applyAlignment="1" applyProtection="1">
      <alignment horizontal="right"/>
      <protection/>
    </xf>
    <xf numFmtId="0" fontId="0" fillId="0" borderId="11" xfId="0" applyBorder="1" applyAlignment="1" applyProtection="1">
      <alignment horizontal="center"/>
      <protection locked="0"/>
    </xf>
    <xf numFmtId="9" fontId="0" fillId="0" borderId="11" xfId="0" applyNumberFormat="1" applyBorder="1" applyAlignment="1" applyProtection="1">
      <alignment horizontal="center"/>
      <protection/>
    </xf>
    <xf numFmtId="3" fontId="0" fillId="0" borderId="0" xfId="0" applyNumberFormat="1" applyAlignment="1" applyProtection="1">
      <alignment horizontal="center"/>
      <protection/>
    </xf>
    <xf numFmtId="0" fontId="0" fillId="0" borderId="15" xfId="0" applyBorder="1" applyAlignment="1" applyProtection="1">
      <alignment/>
      <protection locked="0"/>
    </xf>
    <xf numFmtId="0" fontId="0" fillId="0" borderId="15" xfId="0" applyBorder="1" applyAlignment="1" applyProtection="1">
      <alignment horizontal="center"/>
      <protection locked="0"/>
    </xf>
    <xf numFmtId="0" fontId="4" fillId="32" borderId="11" xfId="0" applyNumberFormat="1" applyFont="1" applyFill="1" applyBorder="1" applyAlignment="1">
      <alignment horizontal="center"/>
    </xf>
    <xf numFmtId="9" fontId="0" fillId="0" borderId="0" xfId="0" applyNumberFormat="1" applyBorder="1" applyAlignment="1">
      <alignment horizontal="center"/>
    </xf>
    <xf numFmtId="164" fontId="0" fillId="0" borderId="0" xfId="0" applyNumberFormat="1" applyBorder="1" applyAlignment="1">
      <alignment/>
    </xf>
    <xf numFmtId="3" fontId="0" fillId="0" borderId="11" xfId="0" applyNumberFormat="1" applyBorder="1" applyAlignment="1" applyProtection="1">
      <alignment horizontal="center"/>
      <protection/>
    </xf>
    <xf numFmtId="0" fontId="0" fillId="0" borderId="0" xfId="0" applyNumberFormat="1" applyAlignment="1">
      <alignment horizontal="center"/>
    </xf>
    <xf numFmtId="0" fontId="0" fillId="0" borderId="13" xfId="0" applyNumberFormat="1" applyBorder="1" applyAlignment="1">
      <alignment horizontal="center"/>
    </xf>
    <xf numFmtId="0" fontId="4" fillId="32" borderId="14" xfId="0" applyNumberFormat="1" applyFont="1" applyFill="1" applyBorder="1" applyAlignment="1">
      <alignment horizontal="center"/>
    </xf>
    <xf numFmtId="164" fontId="0" fillId="0" borderId="0" xfId="0" applyNumberFormat="1" applyAlignment="1" applyProtection="1">
      <alignment horizontal="center"/>
      <protection locked="0"/>
    </xf>
    <xf numFmtId="164" fontId="0" fillId="0" borderId="0" xfId="0" applyNumberFormat="1" applyBorder="1" applyAlignment="1" applyProtection="1">
      <alignment horizontal="center"/>
      <protection locked="0"/>
    </xf>
    <xf numFmtId="3" fontId="0" fillId="0" borderId="0" xfId="0" applyNumberFormat="1" applyAlignment="1" applyProtection="1">
      <alignment/>
      <protection/>
    </xf>
    <xf numFmtId="0" fontId="0" fillId="0" borderId="0" xfId="0" applyAlignment="1">
      <alignment/>
    </xf>
    <xf numFmtId="4" fontId="0" fillId="0" borderId="0" xfId="0" applyNumberFormat="1" applyAlignment="1" applyProtection="1">
      <alignment/>
      <protection locked="0"/>
    </xf>
    <xf numFmtId="164" fontId="47" fillId="33" borderId="0" xfId="0" applyNumberFormat="1" applyFont="1" applyFill="1" applyAlignment="1">
      <alignment horizontal="center"/>
    </xf>
    <xf numFmtId="0" fontId="0" fillId="0" borderId="0" xfId="0" applyAlignment="1" applyProtection="1">
      <alignment horizontal="center"/>
      <protection locked="0"/>
    </xf>
    <xf numFmtId="0" fontId="47" fillId="0" borderId="0" xfId="0" applyFont="1" applyAlignment="1" applyProtection="1">
      <alignment horizontal="center"/>
      <protection locked="0"/>
    </xf>
    <xf numFmtId="0" fontId="0" fillId="0" borderId="0" xfId="0" applyAlignment="1" applyProtection="1">
      <alignment horizontal="left"/>
      <protection/>
    </xf>
    <xf numFmtId="0" fontId="11" fillId="0" borderId="0" xfId="0" applyFont="1" applyAlignment="1">
      <alignment/>
    </xf>
    <xf numFmtId="0" fontId="50" fillId="0" borderId="13" xfId="0" applyFont="1" applyBorder="1" applyAlignment="1" applyProtection="1">
      <alignment horizontal="center"/>
      <protection locked="0"/>
    </xf>
    <xf numFmtId="0" fontId="0" fillId="0" borderId="13" xfId="0" applyBorder="1" applyAlignment="1" applyProtection="1">
      <alignment/>
      <protection locked="0"/>
    </xf>
    <xf numFmtId="0" fontId="47" fillId="0" borderId="13" xfId="0" applyFont="1" applyBorder="1" applyAlignment="1" applyProtection="1">
      <alignment/>
      <protection locked="0"/>
    </xf>
    <xf numFmtId="0" fontId="47" fillId="0" borderId="13" xfId="0" applyFont="1" applyBorder="1" applyAlignment="1" applyProtection="1">
      <alignment horizontal="center"/>
      <protection locked="0"/>
    </xf>
    <xf numFmtId="0" fontId="0" fillId="0" borderId="11" xfId="0" applyBorder="1" applyAlignment="1" applyProtection="1">
      <alignment/>
      <protection locked="0"/>
    </xf>
    <xf numFmtId="166" fontId="0" fillId="0" borderId="11" xfId="0" applyNumberFormat="1" applyBorder="1" applyAlignment="1" applyProtection="1">
      <alignment horizontal="center"/>
      <protection locked="0"/>
    </xf>
    <xf numFmtId="166" fontId="0" fillId="0" borderId="11" xfId="0" applyNumberFormat="1" applyBorder="1" applyAlignment="1" applyProtection="1">
      <alignment horizontal="center"/>
      <protection/>
    </xf>
    <xf numFmtId="0" fontId="47" fillId="0" borderId="15" xfId="0" applyFont="1" applyBorder="1" applyAlignment="1" applyProtection="1">
      <alignment/>
      <protection locked="0"/>
    </xf>
    <xf numFmtId="0" fontId="51" fillId="0" borderId="13" xfId="0" applyFont="1" applyBorder="1" applyAlignment="1" applyProtection="1">
      <alignment horizontal="center"/>
      <protection locked="0"/>
    </xf>
    <xf numFmtId="0" fontId="47" fillId="0" borderId="15" xfId="0" applyFont="1" applyBorder="1" applyAlignment="1" applyProtection="1">
      <alignment horizontal="center"/>
      <protection locked="0"/>
    </xf>
    <xf numFmtId="0" fontId="0" fillId="0" borderId="0" xfId="0" applyFill="1" applyAlignment="1" applyProtection="1">
      <alignment horizontal="left"/>
      <protection locked="0"/>
    </xf>
    <xf numFmtId="2" fontId="0" fillId="0" borderId="13" xfId="0" applyNumberFormat="1" applyBorder="1" applyAlignment="1" applyProtection="1">
      <alignment horizontal="center"/>
      <protection/>
    </xf>
    <xf numFmtId="0" fontId="0" fillId="0" borderId="13" xfId="0" applyBorder="1" applyAlignment="1" applyProtection="1">
      <alignment horizontal="center"/>
      <protection locked="0"/>
    </xf>
    <xf numFmtId="0" fontId="52" fillId="0" borderId="0" xfId="0" applyFont="1" applyAlignment="1" applyProtection="1">
      <alignment/>
      <protection/>
    </xf>
    <xf numFmtId="0" fontId="47" fillId="0" borderId="13" xfId="0" applyFont="1" applyBorder="1" applyAlignment="1" applyProtection="1">
      <alignment/>
      <protection/>
    </xf>
    <xf numFmtId="0" fontId="47" fillId="0" borderId="13" xfId="0" applyFont="1" applyBorder="1" applyAlignment="1" applyProtection="1">
      <alignment horizontal="center"/>
      <protection/>
    </xf>
    <xf numFmtId="0" fontId="0" fillId="0" borderId="13" xfId="0" applyBorder="1" applyAlignment="1" applyProtection="1">
      <alignment/>
      <protection/>
    </xf>
    <xf numFmtId="0" fontId="0" fillId="0" borderId="13" xfId="0" applyBorder="1" applyAlignment="1" applyProtection="1">
      <alignment horizontal="center"/>
      <protection/>
    </xf>
    <xf numFmtId="0" fontId="47" fillId="0" borderId="15" xfId="0" applyFont="1" applyBorder="1" applyAlignment="1" applyProtection="1">
      <alignment/>
      <protection/>
    </xf>
    <xf numFmtId="0" fontId="47" fillId="0" borderId="15" xfId="0" applyFont="1" applyBorder="1" applyAlignment="1" applyProtection="1">
      <alignment horizontal="center"/>
      <protection/>
    </xf>
    <xf numFmtId="2" fontId="0" fillId="0" borderId="0" xfId="0" applyNumberFormat="1" applyAlignment="1" applyProtection="1">
      <alignment horizontal="center"/>
      <protection locked="0"/>
    </xf>
    <xf numFmtId="0" fontId="47" fillId="0" borderId="15" xfId="0" applyFont="1" applyBorder="1" applyAlignment="1" applyProtection="1">
      <alignment horizontal="left"/>
      <protection/>
    </xf>
    <xf numFmtId="2" fontId="0" fillId="0" borderId="15" xfId="0" applyNumberFormat="1" applyBorder="1" applyAlignment="1" applyProtection="1">
      <alignment horizontal="left"/>
      <protection locked="0"/>
    </xf>
    <xf numFmtId="2" fontId="0" fillId="0" borderId="15" xfId="0" applyNumberFormat="1" applyBorder="1" applyAlignment="1" applyProtection="1">
      <alignment/>
      <protection/>
    </xf>
    <xf numFmtId="0" fontId="0" fillId="0" borderId="15" xfId="0" applyBorder="1" applyAlignment="1" applyProtection="1">
      <alignment horizontal="left"/>
      <protection/>
    </xf>
    <xf numFmtId="0" fontId="0" fillId="0" borderId="15" xfId="0" applyBorder="1" applyAlignment="1" applyProtection="1">
      <alignment horizontal="center"/>
      <protection/>
    </xf>
    <xf numFmtId="0" fontId="47" fillId="0" borderId="13" xfId="0" applyFont="1" applyBorder="1" applyAlignment="1" applyProtection="1">
      <alignment horizontal="left"/>
      <protection/>
    </xf>
    <xf numFmtId="0" fontId="53" fillId="0" borderId="0" xfId="0" applyFont="1" applyAlignment="1" applyProtection="1">
      <alignment/>
      <protection/>
    </xf>
    <xf numFmtId="0" fontId="54" fillId="0" borderId="13" xfId="0" applyFont="1" applyBorder="1" applyAlignment="1" applyProtection="1">
      <alignment horizontal="center"/>
      <protection locked="0"/>
    </xf>
    <xf numFmtId="0" fontId="0" fillId="0" borderId="13" xfId="0" applyFont="1" applyBorder="1" applyAlignment="1" applyProtection="1">
      <alignment horizontal="center"/>
      <protection/>
    </xf>
    <xf numFmtId="0" fontId="54" fillId="0" borderId="13" xfId="0" applyFont="1" applyBorder="1" applyAlignment="1" applyProtection="1">
      <alignment/>
      <protection/>
    </xf>
    <xf numFmtId="0" fontId="47" fillId="0" borderId="0" xfId="0" applyFont="1" applyAlignment="1" applyProtection="1" quotePrefix="1">
      <alignment horizontal="center"/>
      <protection/>
    </xf>
    <xf numFmtId="0" fontId="47" fillId="0" borderId="0" xfId="0" applyFont="1" applyAlignment="1">
      <alignment/>
    </xf>
    <xf numFmtId="0" fontId="47" fillId="0" borderId="13" xfId="0" applyFont="1" applyBorder="1" applyAlignment="1" applyProtection="1">
      <alignment horizontal="left"/>
      <protection locked="0"/>
    </xf>
    <xf numFmtId="0" fontId="0" fillId="34" borderId="11" xfId="0" applyFill="1" applyBorder="1" applyAlignment="1">
      <alignment/>
    </xf>
    <xf numFmtId="0" fontId="4" fillId="34" borderId="11" xfId="0" applyFont="1" applyFill="1" applyBorder="1" applyAlignment="1">
      <alignment/>
    </xf>
    <xf numFmtId="164" fontId="4" fillId="34" borderId="11" xfId="0" applyNumberFormat="1" applyFont="1" applyFill="1" applyBorder="1" applyAlignment="1">
      <alignment/>
    </xf>
    <xf numFmtId="0" fontId="47" fillId="0" borderId="11" xfId="0" applyFont="1" applyBorder="1" applyAlignment="1">
      <alignment/>
    </xf>
    <xf numFmtId="0" fontId="47" fillId="34" borderId="11" xfId="0" applyFont="1" applyFill="1" applyBorder="1" applyAlignment="1">
      <alignment/>
    </xf>
    <xf numFmtId="0" fontId="47" fillId="0" borderId="0" xfId="0" applyFont="1" applyAlignment="1">
      <alignment/>
    </xf>
    <xf numFmtId="0" fontId="2" fillId="0" borderId="0" xfId="0" applyFont="1" applyAlignment="1">
      <alignment horizontal="center"/>
    </xf>
    <xf numFmtId="17" fontId="0" fillId="0" borderId="0" xfId="0" applyNumberFormat="1" applyAlignment="1">
      <alignment horizontal="center"/>
    </xf>
    <xf numFmtId="0" fontId="0" fillId="0" borderId="0" xfId="0" applyAlignment="1">
      <alignment horizontal="center"/>
    </xf>
    <xf numFmtId="0" fontId="5" fillId="0" borderId="0" xfId="0" applyFont="1" applyAlignment="1">
      <alignment horizontal="center" vertical="center" wrapText="1"/>
    </xf>
    <xf numFmtId="0" fontId="0" fillId="0" borderId="0" xfId="0" applyAlignment="1">
      <alignment horizontal="left"/>
    </xf>
    <xf numFmtId="0" fontId="0" fillId="0" borderId="0" xfId="0" applyFill="1" applyAlignment="1">
      <alignment horizontal="left"/>
    </xf>
    <xf numFmtId="0" fontId="7" fillId="0" borderId="0" xfId="0" applyFont="1" applyAlignment="1">
      <alignment horizontal="center"/>
    </xf>
    <xf numFmtId="0" fontId="4" fillId="0" borderId="10" xfId="0" applyFont="1" applyBorder="1" applyAlignment="1">
      <alignment horizontal="left"/>
    </xf>
    <xf numFmtId="0" fontId="0" fillId="0" borderId="10" xfId="0" applyBorder="1" applyAlignment="1">
      <alignment horizontal="center"/>
    </xf>
    <xf numFmtId="0" fontId="4" fillId="0" borderId="0" xfId="0" applyFont="1" applyFill="1" applyAlignment="1">
      <alignment horizontal="left"/>
    </xf>
    <xf numFmtId="0" fontId="0" fillId="0" borderId="16" xfId="0" applyBorder="1" applyAlignment="1">
      <alignment horizontal="center"/>
    </xf>
    <xf numFmtId="0" fontId="53" fillId="0" borderId="15" xfId="0" applyFont="1" applyBorder="1" applyAlignment="1" applyProtection="1">
      <alignment horizontal="center"/>
      <protection locked="0"/>
    </xf>
    <xf numFmtId="0" fontId="47" fillId="0" borderId="13" xfId="0" applyFont="1" applyBorder="1" applyAlignment="1" applyProtection="1">
      <alignment horizontal="center"/>
      <protection locked="0"/>
    </xf>
    <xf numFmtId="0" fontId="47" fillId="0" borderId="15" xfId="0" applyFont="1" applyBorder="1" applyAlignment="1" applyProtection="1">
      <alignment horizontal="center"/>
      <protection locked="0"/>
    </xf>
    <xf numFmtId="0" fontId="0" fillId="0" borderId="0" xfId="0" applyAlignment="1" applyProtection="1">
      <alignment horizontal="left"/>
      <protection/>
    </xf>
    <xf numFmtId="0" fontId="51" fillId="0" borderId="15" xfId="0" applyFont="1" applyBorder="1" applyAlignment="1" applyProtection="1">
      <alignment horizontal="center"/>
      <protection locked="0"/>
    </xf>
    <xf numFmtId="0" fontId="51" fillId="0" borderId="0" xfId="0" applyFont="1" applyAlignment="1" applyProtection="1">
      <alignment horizontal="center"/>
      <protection/>
    </xf>
    <xf numFmtId="0" fontId="51" fillId="0" borderId="13" xfId="0" applyFont="1" applyBorder="1" applyAlignment="1" applyProtection="1">
      <alignment horizontal="center"/>
      <protection/>
    </xf>
    <xf numFmtId="0" fontId="54" fillId="0" borderId="0" xfId="0" applyFont="1" applyAlignment="1" applyProtection="1">
      <alignment horizontal="center"/>
      <protection/>
    </xf>
    <xf numFmtId="0" fontId="54" fillId="0" borderId="17" xfId="0" applyFont="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4"/>
  <sheetViews>
    <sheetView zoomScalePageLayoutView="0" workbookViewId="0" topLeftCell="A4">
      <selection activeCell="B25" sqref="B25"/>
    </sheetView>
  </sheetViews>
  <sheetFormatPr defaultColWidth="9.140625" defaultRowHeight="15"/>
  <sheetData>
    <row r="1" spans="1:9" ht="15">
      <c r="A1" s="162" t="s">
        <v>112</v>
      </c>
      <c r="B1" s="162"/>
      <c r="C1" s="162"/>
      <c r="D1" s="162"/>
      <c r="E1" s="162"/>
      <c r="F1" s="162"/>
      <c r="G1" s="162"/>
      <c r="H1" s="162"/>
      <c r="I1" s="162"/>
    </row>
    <row r="2" spans="1:9" ht="15">
      <c r="A2" s="162" t="s">
        <v>126</v>
      </c>
      <c r="B2" s="162"/>
      <c r="C2" s="162"/>
      <c r="D2" s="162"/>
      <c r="E2" s="162"/>
      <c r="F2" s="162"/>
      <c r="G2" s="162"/>
      <c r="H2" s="162"/>
      <c r="I2" s="162"/>
    </row>
    <row r="4" spans="1:9" ht="15">
      <c r="A4" s="163">
        <v>39387</v>
      </c>
      <c r="B4" s="164"/>
      <c r="C4" s="164"/>
      <c r="D4" s="164"/>
      <c r="E4" s="164"/>
      <c r="F4" s="164"/>
      <c r="G4" s="164"/>
      <c r="H4" s="164"/>
      <c r="I4" s="164"/>
    </row>
    <row r="6" spans="2:3" ht="15">
      <c r="B6" s="121" t="s">
        <v>114</v>
      </c>
      <c r="C6" s="42"/>
    </row>
    <row r="7" spans="2:9" ht="15">
      <c r="B7" s="42" t="s">
        <v>121</v>
      </c>
      <c r="D7" s="42"/>
      <c r="E7" s="42"/>
      <c r="F7" s="42"/>
      <c r="G7" s="42"/>
      <c r="H7" s="42"/>
      <c r="I7" s="42"/>
    </row>
    <row r="8" spans="2:5" ht="15">
      <c r="B8" s="42" t="s">
        <v>115</v>
      </c>
      <c r="C8" s="42"/>
      <c r="D8" s="42"/>
      <c r="E8" s="42"/>
    </row>
    <row r="9" spans="2:5" ht="15">
      <c r="B9" s="42"/>
      <c r="C9" s="42"/>
      <c r="D9" s="42"/>
      <c r="E9" s="42"/>
    </row>
    <row r="10" spans="2:5" ht="15">
      <c r="B10" s="161" t="s">
        <v>118</v>
      </c>
      <c r="C10" s="161"/>
      <c r="D10" s="42"/>
      <c r="E10" s="42"/>
    </row>
    <row r="11" spans="2:5" ht="15">
      <c r="B11" s="42" t="s">
        <v>120</v>
      </c>
      <c r="D11" s="42"/>
      <c r="E11" s="42"/>
    </row>
    <row r="12" spans="2:5" ht="15">
      <c r="B12" s="42" t="s">
        <v>119</v>
      </c>
      <c r="C12" s="42"/>
      <c r="D12" s="42"/>
      <c r="E12" s="42"/>
    </row>
    <row r="14" ht="15">
      <c r="B14" s="121" t="s">
        <v>127</v>
      </c>
    </row>
    <row r="15" ht="15">
      <c r="B15" s="42" t="s">
        <v>117</v>
      </c>
    </row>
    <row r="16" ht="15">
      <c r="B16" s="42" t="s">
        <v>116</v>
      </c>
    </row>
    <row r="18" ht="15">
      <c r="B18" s="121" t="s">
        <v>128</v>
      </c>
    </row>
    <row r="19" ht="15">
      <c r="B19" s="42" t="s">
        <v>117</v>
      </c>
    </row>
    <row r="20" ht="15">
      <c r="B20" s="42" t="s">
        <v>116</v>
      </c>
    </row>
    <row r="22" ht="15">
      <c r="B22" s="121" t="s">
        <v>129</v>
      </c>
    </row>
    <row r="23" ht="15">
      <c r="B23" s="42" t="s">
        <v>461</v>
      </c>
    </row>
    <row r="24" ht="15">
      <c r="B24" s="42" t="s">
        <v>462</v>
      </c>
    </row>
    <row r="25" s="115" customFormat="1" ht="15">
      <c r="B25" s="42"/>
    </row>
    <row r="26" s="115" customFormat="1" ht="15">
      <c r="B26" s="121" t="s">
        <v>459</v>
      </c>
    </row>
    <row r="27" s="115" customFormat="1" ht="15">
      <c r="B27" s="42" t="s">
        <v>458</v>
      </c>
    </row>
    <row r="28" s="115" customFormat="1" ht="15">
      <c r="B28" s="42" t="s">
        <v>460</v>
      </c>
    </row>
    <row r="29" s="115" customFormat="1" ht="15">
      <c r="B29" s="42"/>
    </row>
    <row r="31" spans="2:9" ht="150" customHeight="1">
      <c r="B31" s="165" t="s">
        <v>457</v>
      </c>
      <c r="C31" s="165"/>
      <c r="D31" s="165"/>
      <c r="E31" s="165"/>
      <c r="F31" s="165"/>
      <c r="G31" s="165"/>
      <c r="H31" s="165"/>
      <c r="I31" s="165"/>
    </row>
    <row r="32" spans="2:9" ht="15">
      <c r="B32" s="165"/>
      <c r="C32" s="165"/>
      <c r="D32" s="165"/>
      <c r="E32" s="165"/>
      <c r="F32" s="165"/>
      <c r="G32" s="165"/>
      <c r="H32" s="165"/>
      <c r="I32" s="165"/>
    </row>
    <row r="33" spans="2:9" ht="15">
      <c r="B33" s="165"/>
      <c r="C33" s="165"/>
      <c r="D33" s="165"/>
      <c r="E33" s="165"/>
      <c r="F33" s="165"/>
      <c r="G33" s="165"/>
      <c r="H33" s="165"/>
      <c r="I33" s="165"/>
    </row>
    <row r="34" spans="2:9" ht="15">
      <c r="B34" s="165"/>
      <c r="C34" s="165"/>
      <c r="D34" s="165"/>
      <c r="E34" s="165"/>
      <c r="F34" s="165"/>
      <c r="G34" s="165"/>
      <c r="H34" s="165"/>
      <c r="I34" s="165"/>
    </row>
  </sheetData>
  <sheetProtection/>
  <mergeCells count="5">
    <mergeCell ref="B10:C10"/>
    <mergeCell ref="A1:I1"/>
    <mergeCell ref="A2:I2"/>
    <mergeCell ref="A4:I4"/>
    <mergeCell ref="B31:I3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A13"/>
  <sheetViews>
    <sheetView zoomScalePageLayoutView="0" workbookViewId="0" topLeftCell="A1">
      <selection activeCell="A1" sqref="A1"/>
    </sheetView>
  </sheetViews>
  <sheetFormatPr defaultColWidth="9.140625" defaultRowHeight="15"/>
  <cols>
    <col min="1" max="1" width="100.7109375" style="0" customWidth="1"/>
  </cols>
  <sheetData>
    <row r="2" ht="19.5" customHeight="1">
      <c r="A2" s="45" t="s">
        <v>122</v>
      </c>
    </row>
    <row r="3" ht="69.75" customHeight="1">
      <c r="A3" s="49" t="s">
        <v>139</v>
      </c>
    </row>
    <row r="4" ht="12" customHeight="1">
      <c r="A4" s="44"/>
    </row>
    <row r="5" ht="49.5" customHeight="1">
      <c r="A5" s="54" t="s">
        <v>137</v>
      </c>
    </row>
    <row r="6" ht="12" customHeight="1">
      <c r="A6" s="43"/>
    </row>
    <row r="7" ht="69.75" customHeight="1">
      <c r="A7" s="54" t="s">
        <v>138</v>
      </c>
    </row>
    <row r="8" ht="12" customHeight="1">
      <c r="A8" s="54" t="s">
        <v>18</v>
      </c>
    </row>
    <row r="9" ht="75" customHeight="1">
      <c r="A9" s="54" t="s">
        <v>140</v>
      </c>
    </row>
    <row r="10" ht="12" customHeight="1">
      <c r="A10" s="43" t="s">
        <v>18</v>
      </c>
    </row>
    <row r="11" ht="69.75" customHeight="1">
      <c r="A11" s="54" t="s">
        <v>123</v>
      </c>
    </row>
    <row r="12" ht="12" customHeight="1">
      <c r="A12" s="43" t="s">
        <v>18</v>
      </c>
    </row>
    <row r="13" ht="64.5" customHeight="1">
      <c r="A13" s="54" t="s">
        <v>130</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FFFF00"/>
  </sheetPr>
  <dimension ref="A1:J229"/>
  <sheetViews>
    <sheetView tabSelected="1" zoomScale="80" zoomScaleNormal="80" zoomScaleSheetLayoutView="130" zoomScalePageLayoutView="0" workbookViewId="0" topLeftCell="A1">
      <selection activeCell="E44" sqref="E44"/>
    </sheetView>
  </sheetViews>
  <sheetFormatPr defaultColWidth="9.140625" defaultRowHeight="15"/>
  <cols>
    <col min="1" max="1" width="5.57421875" style="154" customWidth="1"/>
    <col min="2" max="2" width="10.7109375" style="154" customWidth="1"/>
    <col min="3" max="3" width="13.7109375" style="0" customWidth="1"/>
    <col min="4" max="8" width="12.7109375" style="0" customWidth="1"/>
  </cols>
  <sheetData>
    <row r="1" spans="3:10" ht="15">
      <c r="C1" s="162" t="s">
        <v>125</v>
      </c>
      <c r="D1" s="162"/>
      <c r="E1" s="162"/>
      <c r="F1" s="162"/>
      <c r="G1" s="162"/>
      <c r="H1" s="162"/>
      <c r="I1" s="37"/>
      <c r="J1" s="37"/>
    </row>
    <row r="2" spans="3:8" ht="15">
      <c r="C2" s="168" t="s">
        <v>113</v>
      </c>
      <c r="D2" s="168"/>
      <c r="E2" s="168"/>
      <c r="F2" s="168"/>
      <c r="G2" s="168"/>
      <c r="H2" s="168"/>
    </row>
    <row r="3" ht="15">
      <c r="C3" s="33" t="s">
        <v>18</v>
      </c>
    </row>
    <row r="4" spans="1:6" ht="15.75" thickBot="1">
      <c r="A4" s="159"/>
      <c r="B4" s="159"/>
      <c r="C4" t="s">
        <v>18</v>
      </c>
      <c r="F4" t="s">
        <v>18</v>
      </c>
    </row>
    <row r="5" spans="3:8" ht="15">
      <c r="C5" s="169"/>
      <c r="D5" s="169"/>
      <c r="E5" s="38" t="s">
        <v>32</v>
      </c>
      <c r="F5" s="38" t="s">
        <v>33</v>
      </c>
      <c r="G5" s="38" t="s">
        <v>34</v>
      </c>
      <c r="H5" s="38" t="s">
        <v>15</v>
      </c>
    </row>
    <row r="6" spans="1:8" ht="15.75" thickBot="1">
      <c r="A6" s="159" t="s">
        <v>7</v>
      </c>
      <c r="B6" s="159" t="s">
        <v>493</v>
      </c>
      <c r="C6" s="39" t="s">
        <v>81</v>
      </c>
      <c r="D6" s="39"/>
      <c r="E6" s="40" t="s">
        <v>35</v>
      </c>
      <c r="F6" s="40" t="s">
        <v>35</v>
      </c>
      <c r="G6" s="40" t="s">
        <v>35</v>
      </c>
      <c r="H6" s="40" t="s">
        <v>71</v>
      </c>
    </row>
    <row r="7" spans="3:8" ht="15">
      <c r="C7" s="170"/>
      <c r="D7" s="170"/>
      <c r="E7" s="29"/>
      <c r="F7" s="29"/>
      <c r="G7" s="29"/>
      <c r="H7" s="29"/>
    </row>
    <row r="8" spans="1:4" ht="15">
      <c r="A8" s="59" t="s">
        <v>11</v>
      </c>
      <c r="B8" s="59"/>
      <c r="C8" s="171"/>
      <c r="D8" s="171"/>
    </row>
    <row r="9" spans="2:4" ht="15">
      <c r="B9" s="59" t="s">
        <v>80</v>
      </c>
      <c r="C9" s="59"/>
      <c r="D9" s="59"/>
    </row>
    <row r="10" spans="3:8" ht="15">
      <c r="C10" s="60" t="s">
        <v>36</v>
      </c>
      <c r="D10" s="60"/>
      <c r="E10" s="30">
        <v>452.7797773027201</v>
      </c>
      <c r="F10" s="30">
        <v>0</v>
      </c>
      <c r="G10" s="30">
        <v>263.34000000000003</v>
      </c>
      <c r="H10" s="30">
        <v>716.1197773027202</v>
      </c>
    </row>
    <row r="11" spans="3:8" ht="15">
      <c r="C11" s="60" t="s">
        <v>37</v>
      </c>
      <c r="D11" s="60"/>
      <c r="E11" s="30">
        <v>477.31093376000007</v>
      </c>
      <c r="F11" s="30">
        <v>0</v>
      </c>
      <c r="G11" s="30">
        <v>297</v>
      </c>
      <c r="H11" s="30">
        <v>774.3109337600001</v>
      </c>
    </row>
    <row r="12" spans="3:8" ht="15">
      <c r="C12" s="60" t="s">
        <v>38</v>
      </c>
      <c r="D12" s="60"/>
      <c r="E12" s="30">
        <v>1111.7075582666669</v>
      </c>
      <c r="F12" s="30">
        <v>6540.000000000001</v>
      </c>
      <c r="G12" s="30">
        <v>198</v>
      </c>
      <c r="H12" s="30">
        <v>7849.707558266668</v>
      </c>
    </row>
    <row r="13" spans="3:8" ht="15">
      <c r="C13" s="167" t="s">
        <v>39</v>
      </c>
      <c r="D13" s="167"/>
      <c r="E13" s="30">
        <v>15.210740740740743</v>
      </c>
      <c r="F13" s="30">
        <v>0</v>
      </c>
      <c r="G13" s="30">
        <v>82.5</v>
      </c>
      <c r="H13" s="30">
        <v>97.71074074074075</v>
      </c>
    </row>
    <row r="14" spans="3:8" ht="15">
      <c r="C14" s="167" t="s">
        <v>40</v>
      </c>
      <c r="D14" s="167"/>
      <c r="E14" s="30">
        <v>162.76081053333337</v>
      </c>
      <c r="F14" s="30">
        <v>0</v>
      </c>
      <c r="G14" s="30">
        <v>99</v>
      </c>
      <c r="H14" s="30">
        <v>261.76081053333337</v>
      </c>
    </row>
    <row r="15" spans="3:8" ht="15">
      <c r="C15" s="60" t="s">
        <v>41</v>
      </c>
      <c r="D15" s="60"/>
      <c r="E15" s="30">
        <v>208.33606096716403</v>
      </c>
      <c r="F15" s="30">
        <v>405</v>
      </c>
      <c r="G15" s="30">
        <v>132.066</v>
      </c>
      <c r="H15" s="30">
        <v>745.4020609671641</v>
      </c>
    </row>
    <row r="16" spans="3:8" ht="15">
      <c r="C16" s="60" t="s">
        <v>42</v>
      </c>
      <c r="D16" s="60"/>
      <c r="E16" s="30">
        <v>0</v>
      </c>
      <c r="F16" s="30">
        <v>800</v>
      </c>
      <c r="G16" s="30">
        <v>0</v>
      </c>
      <c r="H16" s="30">
        <v>800</v>
      </c>
    </row>
    <row r="17" spans="3:8" ht="15">
      <c r="C17" s="167" t="s">
        <v>95</v>
      </c>
      <c r="D17" s="167"/>
      <c r="E17" s="30">
        <v>159.66611114666668</v>
      </c>
      <c r="F17" s="30">
        <v>190</v>
      </c>
      <c r="G17" s="30">
        <v>198</v>
      </c>
      <c r="H17" s="30">
        <v>547.6661111466667</v>
      </c>
    </row>
    <row r="18" spans="3:8" ht="15">
      <c r="C18" s="60" t="s">
        <v>43</v>
      </c>
      <c r="D18" s="60"/>
      <c r="E18" s="30">
        <v>231.40286869333337</v>
      </c>
      <c r="F18" s="30">
        <v>0</v>
      </c>
      <c r="G18" s="30">
        <v>99</v>
      </c>
      <c r="H18" s="30">
        <v>330.4028686933334</v>
      </c>
    </row>
    <row r="19" spans="2:8" ht="15">
      <c r="B19" s="61" t="s">
        <v>111</v>
      </c>
      <c r="C19" s="61"/>
      <c r="D19" s="60"/>
      <c r="E19" s="30"/>
      <c r="F19" s="30"/>
      <c r="G19" s="30"/>
      <c r="H19" s="30"/>
    </row>
    <row r="20" spans="3:8" ht="15">
      <c r="C20" s="60" t="s">
        <v>44</v>
      </c>
      <c r="D20" s="60"/>
      <c r="E20" s="30">
        <v>0</v>
      </c>
      <c r="F20" s="30">
        <v>184800</v>
      </c>
      <c r="G20" s="30">
        <v>4.917</v>
      </c>
      <c r="H20" s="30">
        <v>184804.917</v>
      </c>
    </row>
    <row r="21" spans="2:8" ht="15">
      <c r="B21" s="61" t="s">
        <v>85</v>
      </c>
      <c r="C21" s="61"/>
      <c r="D21" s="60"/>
      <c r="E21" s="31"/>
      <c r="F21" s="30"/>
      <c r="G21" s="30"/>
      <c r="H21" s="30"/>
    </row>
    <row r="22" spans="3:8" ht="15">
      <c r="C22" s="60" t="s">
        <v>45</v>
      </c>
      <c r="D22" s="60"/>
      <c r="E22" s="30">
        <v>0</v>
      </c>
      <c r="F22" s="30">
        <v>280</v>
      </c>
      <c r="G22" s="30">
        <v>0</v>
      </c>
      <c r="H22" s="30">
        <v>280</v>
      </c>
    </row>
    <row r="23" spans="3:8" ht="15">
      <c r="C23" t="s">
        <v>46</v>
      </c>
      <c r="E23" s="30">
        <v>0</v>
      </c>
      <c r="F23" s="30">
        <v>0</v>
      </c>
      <c r="G23" s="30">
        <v>0</v>
      </c>
      <c r="H23" s="30">
        <v>0</v>
      </c>
    </row>
    <row r="24" spans="3:8" ht="15">
      <c r="C24" t="s">
        <v>47</v>
      </c>
      <c r="E24" s="30">
        <v>0</v>
      </c>
      <c r="F24" s="30">
        <v>0</v>
      </c>
      <c r="G24" s="30">
        <v>0</v>
      </c>
      <c r="H24" s="30">
        <v>0</v>
      </c>
    </row>
    <row r="25" spans="3:8" ht="15">
      <c r="C25" t="s">
        <v>48</v>
      </c>
      <c r="E25" s="30">
        <v>0</v>
      </c>
      <c r="F25" s="30">
        <v>400</v>
      </c>
      <c r="G25" s="30">
        <v>0</v>
      </c>
      <c r="H25" s="30">
        <v>400</v>
      </c>
    </row>
    <row r="26" spans="3:8" ht="15">
      <c r="C26" t="s">
        <v>49</v>
      </c>
      <c r="E26" s="30">
        <v>0</v>
      </c>
      <c r="F26" s="30">
        <v>300</v>
      </c>
      <c r="G26" s="30">
        <v>0</v>
      </c>
      <c r="H26" s="30">
        <v>300</v>
      </c>
    </row>
    <row r="27" spans="3:8" ht="15">
      <c r="C27" t="s">
        <v>86</v>
      </c>
      <c r="E27" s="30">
        <v>624.1220784</v>
      </c>
      <c r="F27" s="30">
        <v>0</v>
      </c>
      <c r="G27" s="30">
        <v>0</v>
      </c>
      <c r="H27" s="30">
        <v>624.1220784</v>
      </c>
    </row>
    <row r="28" spans="3:8" ht="15">
      <c r="C28" t="s">
        <v>50</v>
      </c>
      <c r="E28" s="34">
        <v>0</v>
      </c>
      <c r="F28" s="34">
        <v>0</v>
      </c>
      <c r="G28" s="34">
        <v>0</v>
      </c>
      <c r="H28" s="34">
        <v>0</v>
      </c>
    </row>
    <row r="29" spans="1:8" ht="15.75" thickBot="1">
      <c r="A29" s="160"/>
      <c r="B29" s="157" t="s">
        <v>107</v>
      </c>
      <c r="C29" s="157"/>
      <c r="D29" s="156"/>
      <c r="E29" s="158">
        <v>3443.296939810625</v>
      </c>
      <c r="F29" s="158">
        <v>193715</v>
      </c>
      <c r="G29" s="158">
        <v>1373.8229999999999</v>
      </c>
      <c r="H29" s="158">
        <v>198532.1199398106</v>
      </c>
    </row>
    <row r="30" spans="5:8" ht="15">
      <c r="E30" s="8"/>
      <c r="F30" s="8"/>
      <c r="G30" s="8"/>
      <c r="H30" s="8"/>
    </row>
    <row r="31" spans="1:8" ht="15">
      <c r="A31" s="61" t="s">
        <v>82</v>
      </c>
      <c r="C31" s="61"/>
      <c r="D31" s="60"/>
      <c r="E31" s="8"/>
      <c r="F31" s="8"/>
      <c r="G31" s="8"/>
      <c r="H31" s="8"/>
    </row>
    <row r="32" spans="2:8" ht="15">
      <c r="B32" s="61" t="s">
        <v>84</v>
      </c>
      <c r="C32" s="61"/>
      <c r="D32" s="60"/>
      <c r="E32" s="30"/>
      <c r="F32" s="30"/>
      <c r="G32" s="30"/>
      <c r="H32" s="30"/>
    </row>
    <row r="33" spans="3:8" ht="15">
      <c r="C33" s="60" t="s">
        <v>51</v>
      </c>
      <c r="D33" s="60"/>
      <c r="E33" s="30">
        <v>312.35</v>
      </c>
      <c r="F33" s="30">
        <v>79.06</v>
      </c>
      <c r="G33" s="30">
        <v>198</v>
      </c>
      <c r="H33" s="30">
        <v>589.41</v>
      </c>
    </row>
    <row r="34" spans="3:8" ht="15">
      <c r="C34" s="60" t="s">
        <v>52</v>
      </c>
      <c r="D34" s="60"/>
      <c r="E34" s="30">
        <v>0</v>
      </c>
      <c r="F34" s="30">
        <v>0</v>
      </c>
      <c r="G34" s="30">
        <v>825</v>
      </c>
      <c r="H34" s="30">
        <v>825</v>
      </c>
    </row>
    <row r="35" spans="3:8" ht="15">
      <c r="C35" s="60" t="s">
        <v>136</v>
      </c>
      <c r="D35" s="60"/>
      <c r="E35" s="30">
        <v>0</v>
      </c>
      <c r="F35" s="30">
        <v>700</v>
      </c>
      <c r="G35" s="30">
        <v>0</v>
      </c>
      <c r="H35" s="30">
        <v>700</v>
      </c>
    </row>
    <row r="36" spans="3:8" ht="15">
      <c r="C36" s="60" t="s">
        <v>53</v>
      </c>
      <c r="D36" s="60"/>
      <c r="E36" s="30">
        <v>38.04452637000001</v>
      </c>
      <c r="F36" s="30">
        <v>0</v>
      </c>
      <c r="G36" s="30">
        <v>14.849999999999998</v>
      </c>
      <c r="H36" s="30">
        <v>52.89452637000001</v>
      </c>
    </row>
    <row r="37" spans="3:8" ht="15">
      <c r="C37" s="60" t="s">
        <v>54</v>
      </c>
      <c r="D37" s="60"/>
      <c r="E37" s="30">
        <v>677.2961787666668</v>
      </c>
      <c r="F37" s="30">
        <v>0</v>
      </c>
      <c r="G37" s="30">
        <v>396</v>
      </c>
      <c r="H37" s="30">
        <v>1073.2961787666668</v>
      </c>
    </row>
    <row r="38" spans="3:8" ht="15">
      <c r="C38" s="60" t="s">
        <v>55</v>
      </c>
      <c r="D38" s="60"/>
      <c r="E38" s="30">
        <v>342.16757704</v>
      </c>
      <c r="F38" s="30">
        <v>10560</v>
      </c>
      <c r="G38" s="30">
        <v>396</v>
      </c>
      <c r="H38" s="30">
        <v>11298.16757704</v>
      </c>
    </row>
    <row r="39" spans="3:8" ht="15">
      <c r="C39" s="60" t="s">
        <v>51</v>
      </c>
      <c r="D39" s="60"/>
      <c r="E39" s="30">
        <v>312.347917492</v>
      </c>
      <c r="F39" s="30">
        <v>1374.48</v>
      </c>
      <c r="G39" s="30">
        <v>198</v>
      </c>
      <c r="H39" s="30">
        <v>1884.83</v>
      </c>
    </row>
    <row r="40" spans="3:8" ht="15">
      <c r="C40" s="60" t="s">
        <v>56</v>
      </c>
      <c r="D40" s="60"/>
      <c r="E40" s="30">
        <v>0</v>
      </c>
      <c r="F40" s="30">
        <v>0</v>
      </c>
      <c r="G40" s="30">
        <v>660</v>
      </c>
      <c r="H40" s="30">
        <v>660</v>
      </c>
    </row>
    <row r="41" spans="2:8" ht="15">
      <c r="B41" s="61" t="s">
        <v>88</v>
      </c>
      <c r="C41" s="61"/>
      <c r="D41" s="60"/>
      <c r="E41" s="30"/>
      <c r="F41" s="30"/>
      <c r="G41" s="30"/>
      <c r="H41" s="30"/>
    </row>
    <row r="42" spans="3:8" ht="15">
      <c r="C42" s="60" t="s">
        <v>57</v>
      </c>
      <c r="D42" s="60"/>
      <c r="E42" s="30">
        <v>334.09</v>
      </c>
      <c r="F42" s="30">
        <v>0</v>
      </c>
      <c r="G42" s="30">
        <v>82.5</v>
      </c>
      <c r="H42" s="30">
        <v>416.59</v>
      </c>
    </row>
    <row r="43" spans="2:8" ht="15">
      <c r="B43" s="61" t="s">
        <v>89</v>
      </c>
      <c r="C43" s="61"/>
      <c r="D43" s="60"/>
      <c r="E43" s="30"/>
      <c r="F43" s="30"/>
      <c r="G43" s="30"/>
      <c r="H43" s="30"/>
    </row>
    <row r="44" spans="3:8" ht="15">
      <c r="C44" s="60" t="s">
        <v>90</v>
      </c>
      <c r="D44" s="60"/>
      <c r="E44" s="30">
        <v>220.92413183400004</v>
      </c>
      <c r="F44" s="30">
        <v>0</v>
      </c>
      <c r="G44" s="30">
        <v>131.67000000000002</v>
      </c>
      <c r="H44" s="30">
        <v>352.59413183400005</v>
      </c>
    </row>
    <row r="45" spans="3:8" ht="15">
      <c r="C45" s="91" t="s">
        <v>57</v>
      </c>
      <c r="D45" s="60"/>
      <c r="E45" s="30">
        <v>417.62</v>
      </c>
      <c r="F45" s="30">
        <v>0</v>
      </c>
      <c r="G45" s="30">
        <v>99</v>
      </c>
      <c r="H45" s="30">
        <v>516.62</v>
      </c>
    </row>
    <row r="46" spans="2:8" ht="15">
      <c r="B46" s="61" t="s">
        <v>91</v>
      </c>
      <c r="C46" s="61"/>
      <c r="D46" s="60"/>
      <c r="E46" s="30"/>
      <c r="F46" s="30"/>
      <c r="G46" s="30"/>
      <c r="H46" s="30"/>
    </row>
    <row r="47" spans="3:8" ht="15">
      <c r="C47" s="60" t="s">
        <v>51</v>
      </c>
      <c r="D47" s="60"/>
      <c r="E47" s="30">
        <v>156.17</v>
      </c>
      <c r="F47" s="30">
        <v>1374</v>
      </c>
      <c r="G47" s="30">
        <v>99</v>
      </c>
      <c r="H47" s="30">
        <v>1629.65</v>
      </c>
    </row>
    <row r="48" spans="3:8" ht="15">
      <c r="C48" s="60" t="s">
        <v>133</v>
      </c>
      <c r="D48" s="60"/>
      <c r="E48" s="30">
        <v>0</v>
      </c>
      <c r="F48" s="30">
        <v>0</v>
      </c>
      <c r="G48" s="30">
        <v>660</v>
      </c>
      <c r="H48" s="30">
        <v>660</v>
      </c>
    </row>
    <row r="49" spans="3:8" ht="15">
      <c r="C49" s="62" t="s">
        <v>95</v>
      </c>
      <c r="D49" s="60"/>
      <c r="E49" s="30">
        <v>159.66611114666668</v>
      </c>
      <c r="F49" s="30">
        <v>190</v>
      </c>
      <c r="G49" s="30">
        <v>198</v>
      </c>
      <c r="H49" s="30">
        <v>547.6661111466667</v>
      </c>
    </row>
    <row r="50" spans="3:8" ht="15">
      <c r="C50" s="60" t="s">
        <v>51</v>
      </c>
      <c r="D50" s="60"/>
      <c r="E50" s="30">
        <v>156.17</v>
      </c>
      <c r="F50" s="30">
        <v>59.87</v>
      </c>
      <c r="G50" s="30">
        <v>99</v>
      </c>
      <c r="H50" s="30">
        <v>315.05</v>
      </c>
    </row>
    <row r="51" spans="3:8" ht="15">
      <c r="C51" s="60" t="s">
        <v>57</v>
      </c>
      <c r="D51" s="60"/>
      <c r="E51" s="30">
        <v>334.09</v>
      </c>
      <c r="F51" s="30">
        <v>0</v>
      </c>
      <c r="G51" s="30">
        <v>82.5</v>
      </c>
      <c r="H51" s="30">
        <v>416.59</v>
      </c>
    </row>
    <row r="52" spans="3:8" ht="15">
      <c r="C52" s="60" t="s">
        <v>90</v>
      </c>
      <c r="D52" s="60"/>
      <c r="E52" s="30">
        <v>220.92413183400004</v>
      </c>
      <c r="F52" s="30">
        <v>0</v>
      </c>
      <c r="G52" s="30">
        <v>131.67000000000002</v>
      </c>
      <c r="H52" s="30">
        <v>352.59413183400005</v>
      </c>
    </row>
    <row r="53" spans="2:8" ht="15">
      <c r="B53" s="36" t="s">
        <v>92</v>
      </c>
      <c r="C53" s="36"/>
      <c r="D53" s="36"/>
      <c r="E53" s="30"/>
      <c r="F53" s="30"/>
      <c r="G53" s="30"/>
      <c r="H53" s="30"/>
    </row>
    <row r="54" spans="3:8" ht="15">
      <c r="C54" s="60" t="s">
        <v>90</v>
      </c>
      <c r="D54" s="60"/>
      <c r="E54" s="30">
        <v>220.92413183400004</v>
      </c>
      <c r="F54" s="30">
        <v>0</v>
      </c>
      <c r="G54" s="30">
        <v>131.67000000000002</v>
      </c>
      <c r="H54" s="30">
        <v>352.59413183400005</v>
      </c>
    </row>
    <row r="55" spans="3:8" ht="15">
      <c r="C55" s="60" t="s">
        <v>133</v>
      </c>
      <c r="D55" s="60"/>
      <c r="E55" s="30">
        <v>0</v>
      </c>
      <c r="F55" s="30">
        <v>0</v>
      </c>
      <c r="G55" s="30">
        <v>1650</v>
      </c>
      <c r="H55" s="30">
        <v>1650</v>
      </c>
    </row>
    <row r="56" spans="3:8" ht="15">
      <c r="C56" s="60" t="s">
        <v>57</v>
      </c>
      <c r="D56" s="60"/>
      <c r="E56" s="30">
        <v>751.71</v>
      </c>
      <c r="F56" s="30">
        <v>0</v>
      </c>
      <c r="G56" s="30">
        <v>181.5</v>
      </c>
      <c r="H56" s="30">
        <v>933.2</v>
      </c>
    </row>
    <row r="57" spans="3:8" ht="15">
      <c r="C57" s="60" t="s">
        <v>51</v>
      </c>
      <c r="D57" s="60"/>
      <c r="E57" s="30">
        <v>156.173958746</v>
      </c>
      <c r="F57" s="30">
        <v>1374.48</v>
      </c>
      <c r="G57" s="30">
        <v>99</v>
      </c>
      <c r="H57" s="30">
        <v>1629.65</v>
      </c>
    </row>
    <row r="58" spans="2:8" ht="15">
      <c r="B58" s="61" t="s">
        <v>109</v>
      </c>
      <c r="C58" s="61"/>
      <c r="D58" s="60"/>
      <c r="E58" s="30"/>
      <c r="F58" s="30"/>
      <c r="G58" s="30"/>
      <c r="H58" s="30"/>
    </row>
    <row r="59" spans="3:8" ht="15">
      <c r="C59" s="60" t="s">
        <v>51</v>
      </c>
      <c r="D59" s="60"/>
      <c r="E59" s="30">
        <v>156.17</v>
      </c>
      <c r="F59" s="30">
        <v>79.06</v>
      </c>
      <c r="G59" s="30">
        <v>99</v>
      </c>
      <c r="H59" s="30">
        <v>334.23</v>
      </c>
    </row>
    <row r="60" spans="3:8" ht="15">
      <c r="C60" s="60" t="s">
        <v>57</v>
      </c>
      <c r="D60" s="60"/>
      <c r="E60" s="30">
        <v>167.05</v>
      </c>
      <c r="F60" s="30">
        <v>0</v>
      </c>
      <c r="G60" s="30">
        <v>41.25</v>
      </c>
      <c r="H60" s="30">
        <v>208.3</v>
      </c>
    </row>
    <row r="61" spans="2:8" ht="15">
      <c r="B61" s="61" t="s">
        <v>93</v>
      </c>
      <c r="C61" s="61"/>
      <c r="D61" s="60"/>
      <c r="E61" s="30"/>
      <c r="F61" s="30"/>
      <c r="G61" s="30"/>
      <c r="H61" s="30"/>
    </row>
    <row r="62" spans="3:8" ht="15">
      <c r="C62" s="60" t="s">
        <v>57</v>
      </c>
      <c r="D62" s="60"/>
      <c r="E62" s="30">
        <v>8.97</v>
      </c>
      <c r="F62" s="30">
        <v>0</v>
      </c>
      <c r="G62" s="30">
        <v>4.125</v>
      </c>
      <c r="H62" s="30">
        <v>13.09</v>
      </c>
    </row>
    <row r="63" spans="3:8" ht="15">
      <c r="C63" s="60" t="s">
        <v>90</v>
      </c>
      <c r="D63" s="60"/>
      <c r="E63" s="30">
        <v>220.92413183400004</v>
      </c>
      <c r="F63" s="30">
        <v>0</v>
      </c>
      <c r="G63" s="30">
        <v>131.67000000000002</v>
      </c>
      <c r="H63" s="30">
        <v>352.59413183400005</v>
      </c>
    </row>
    <row r="64" spans="2:8" ht="15">
      <c r="B64" s="61" t="s">
        <v>85</v>
      </c>
      <c r="C64" s="61"/>
      <c r="D64" s="60"/>
      <c r="E64" s="31"/>
      <c r="F64" s="30"/>
      <c r="G64" s="30"/>
      <c r="H64" s="30"/>
    </row>
    <row r="65" spans="3:8" ht="15">
      <c r="C65" t="s">
        <v>45</v>
      </c>
      <c r="E65" s="30">
        <v>0</v>
      </c>
      <c r="F65" s="30">
        <v>320</v>
      </c>
      <c r="G65" s="30">
        <v>0</v>
      </c>
      <c r="H65" s="30">
        <v>320</v>
      </c>
    </row>
    <row r="66" spans="3:8" ht="15">
      <c r="C66" t="s">
        <v>46</v>
      </c>
      <c r="E66" s="30">
        <v>0</v>
      </c>
      <c r="F66" s="30">
        <v>0</v>
      </c>
      <c r="G66" s="30">
        <v>0</v>
      </c>
      <c r="H66" s="30">
        <v>0</v>
      </c>
    </row>
    <row r="67" spans="3:8" ht="15">
      <c r="C67" t="s">
        <v>47</v>
      </c>
      <c r="E67" s="30">
        <v>0</v>
      </c>
      <c r="F67" s="30">
        <v>0</v>
      </c>
      <c r="G67" s="30">
        <v>0</v>
      </c>
      <c r="H67" s="30">
        <v>0</v>
      </c>
    </row>
    <row r="68" spans="3:8" ht="15">
      <c r="C68" t="s">
        <v>48</v>
      </c>
      <c r="E68" s="30">
        <v>0</v>
      </c>
      <c r="F68" s="30">
        <v>600</v>
      </c>
      <c r="G68" s="30">
        <v>0</v>
      </c>
      <c r="H68" s="30">
        <v>600</v>
      </c>
    </row>
    <row r="69" spans="3:8" ht="15">
      <c r="C69" t="s">
        <v>49</v>
      </c>
      <c r="E69" s="30">
        <v>0</v>
      </c>
      <c r="F69" s="30">
        <v>460</v>
      </c>
      <c r="G69" s="30">
        <v>0</v>
      </c>
      <c r="H69" s="30">
        <v>460</v>
      </c>
    </row>
    <row r="70" spans="3:8" ht="15">
      <c r="C70" s="166" t="s">
        <v>86</v>
      </c>
      <c r="D70" s="166"/>
      <c r="E70" s="30">
        <v>624.1220784</v>
      </c>
      <c r="F70" s="30">
        <v>0</v>
      </c>
      <c r="G70" s="30">
        <v>396</v>
      </c>
      <c r="H70" s="30">
        <v>1020.1220784</v>
      </c>
    </row>
    <row r="71" spans="3:8" ht="15">
      <c r="C71" t="s">
        <v>50</v>
      </c>
      <c r="E71" s="34">
        <v>0</v>
      </c>
      <c r="F71" s="34">
        <v>0</v>
      </c>
      <c r="G71" s="34">
        <v>0</v>
      </c>
      <c r="H71" s="34">
        <v>0</v>
      </c>
    </row>
    <row r="72" spans="1:8" ht="15.75" thickBot="1">
      <c r="A72" s="160"/>
      <c r="B72" s="157" t="s">
        <v>102</v>
      </c>
      <c r="C72" s="157"/>
      <c r="D72" s="156"/>
      <c r="E72" s="158">
        <v>5987.91</v>
      </c>
      <c r="F72" s="158">
        <v>17171.43</v>
      </c>
      <c r="G72" s="158">
        <v>7005.41</v>
      </c>
      <c r="H72" s="158">
        <v>30164.75</v>
      </c>
    </row>
    <row r="73" spans="5:8" ht="15">
      <c r="E73" s="8"/>
      <c r="F73" s="8"/>
      <c r="G73" s="8"/>
      <c r="H73" s="8"/>
    </row>
    <row r="74" spans="1:8" ht="15">
      <c r="A74" s="61" t="s">
        <v>94</v>
      </c>
      <c r="C74" s="61"/>
      <c r="D74" s="60"/>
      <c r="E74" s="8"/>
      <c r="F74" s="8"/>
      <c r="G74" s="8"/>
      <c r="H74" s="8"/>
    </row>
    <row r="75" spans="2:8" ht="15">
      <c r="B75" s="61" t="s">
        <v>110</v>
      </c>
      <c r="C75" s="61"/>
      <c r="D75" s="60"/>
      <c r="E75" s="8"/>
      <c r="F75" s="8"/>
      <c r="G75" s="8"/>
      <c r="H75" s="8"/>
    </row>
    <row r="76" spans="3:8" ht="15">
      <c r="C76" s="167" t="s">
        <v>95</v>
      </c>
      <c r="D76" s="167"/>
      <c r="E76" s="30">
        <v>159.66611114666668</v>
      </c>
      <c r="F76" s="30">
        <v>960</v>
      </c>
      <c r="G76" s="30">
        <v>198</v>
      </c>
      <c r="H76" s="30">
        <v>1317.6661111466667</v>
      </c>
    </row>
    <row r="77" spans="2:8" ht="15">
      <c r="B77" s="59" t="s">
        <v>83</v>
      </c>
      <c r="C77" s="59"/>
      <c r="D77" s="62"/>
      <c r="E77" s="30"/>
      <c r="F77" s="30"/>
      <c r="G77" s="30"/>
      <c r="H77" s="30"/>
    </row>
    <row r="78" spans="3:8" ht="15">
      <c r="C78" s="60" t="s">
        <v>133</v>
      </c>
      <c r="D78" s="60"/>
      <c r="E78" s="30">
        <v>0</v>
      </c>
      <c r="F78" s="30">
        <v>0</v>
      </c>
      <c r="G78" s="30">
        <v>495</v>
      </c>
      <c r="H78" s="30">
        <v>495</v>
      </c>
    </row>
    <row r="79" spans="3:8" ht="15">
      <c r="C79" s="60" t="s">
        <v>51</v>
      </c>
      <c r="D79" s="60"/>
      <c r="E79" s="30">
        <v>156.173958746</v>
      </c>
      <c r="F79" s="30">
        <v>1374.48</v>
      </c>
      <c r="G79" s="30">
        <v>99</v>
      </c>
      <c r="H79" s="30">
        <v>1629.65</v>
      </c>
    </row>
    <row r="80" spans="2:8" ht="15">
      <c r="B80" s="61" t="s">
        <v>88</v>
      </c>
      <c r="C80" s="61"/>
      <c r="D80" s="60"/>
      <c r="E80" s="30"/>
      <c r="F80" s="30"/>
      <c r="G80" s="30"/>
      <c r="H80" s="30"/>
    </row>
    <row r="81" spans="3:8" ht="15">
      <c r="C81" s="60" t="s">
        <v>134</v>
      </c>
      <c r="D81" s="60"/>
      <c r="E81" s="30">
        <v>334.09</v>
      </c>
      <c r="F81" s="30">
        <v>0</v>
      </c>
      <c r="G81" s="30">
        <v>82.5</v>
      </c>
      <c r="H81" s="30">
        <v>416.59</v>
      </c>
    </row>
    <row r="82" spans="2:8" ht="15">
      <c r="B82" s="61" t="s">
        <v>89</v>
      </c>
      <c r="C82" s="61"/>
      <c r="D82" s="60"/>
      <c r="E82" s="30"/>
      <c r="F82" s="30"/>
      <c r="G82" s="30"/>
      <c r="H82" s="30"/>
    </row>
    <row r="83" spans="3:8" ht="15">
      <c r="C83" s="167" t="s">
        <v>95</v>
      </c>
      <c r="D83" s="167"/>
      <c r="E83" s="30">
        <v>159.66611114666668</v>
      </c>
      <c r="F83" s="30">
        <v>190</v>
      </c>
      <c r="G83" s="30">
        <v>198</v>
      </c>
      <c r="H83" s="30">
        <v>547.6661111466667</v>
      </c>
    </row>
    <row r="84" spans="3:8" ht="15">
      <c r="C84" s="167" t="s">
        <v>90</v>
      </c>
      <c r="D84" s="167"/>
      <c r="E84" s="30">
        <v>220.92413183400004</v>
      </c>
      <c r="F84" s="30">
        <v>0</v>
      </c>
      <c r="G84" s="30">
        <v>131.67000000000002</v>
      </c>
      <c r="H84" s="30">
        <v>352.59413183400005</v>
      </c>
    </row>
    <row r="85" spans="3:8" ht="15">
      <c r="C85" s="60" t="s">
        <v>134</v>
      </c>
      <c r="D85" s="62"/>
      <c r="E85" s="30">
        <v>417.62</v>
      </c>
      <c r="F85" s="30">
        <v>0</v>
      </c>
      <c r="G85" s="30">
        <v>99</v>
      </c>
      <c r="H85" s="30">
        <v>516.62</v>
      </c>
    </row>
    <row r="86" spans="2:8" ht="15">
      <c r="B86" s="61" t="s">
        <v>91</v>
      </c>
      <c r="C86" s="61"/>
      <c r="D86" s="60"/>
      <c r="E86" s="30"/>
      <c r="F86" s="30"/>
      <c r="G86" s="30"/>
      <c r="H86" s="30"/>
    </row>
    <row r="87" spans="3:8" ht="15">
      <c r="C87" s="60" t="s">
        <v>58</v>
      </c>
      <c r="D87" s="60"/>
      <c r="E87" s="30">
        <v>0</v>
      </c>
      <c r="F87" s="30">
        <v>0</v>
      </c>
      <c r="G87" s="30">
        <v>660</v>
      </c>
      <c r="H87" s="30">
        <v>660</v>
      </c>
    </row>
    <row r="88" spans="3:8" ht="15">
      <c r="C88" s="167" t="s">
        <v>90</v>
      </c>
      <c r="D88" s="167"/>
      <c r="E88" s="30">
        <v>220.92413183400004</v>
      </c>
      <c r="F88" s="30">
        <v>0</v>
      </c>
      <c r="G88" s="30">
        <v>131.67000000000002</v>
      </c>
      <c r="H88" s="30">
        <v>352.59413183400005</v>
      </c>
    </row>
    <row r="89" spans="3:8" ht="15">
      <c r="C89" s="60" t="s">
        <v>51</v>
      </c>
      <c r="D89" s="60"/>
      <c r="E89" s="30">
        <v>156.17</v>
      </c>
      <c r="F89" s="30">
        <v>444.8</v>
      </c>
      <c r="G89" s="30">
        <v>99</v>
      </c>
      <c r="H89" s="30">
        <v>699.97</v>
      </c>
    </row>
    <row r="90" spans="3:8" ht="15">
      <c r="C90" s="167" t="s">
        <v>95</v>
      </c>
      <c r="D90" s="167"/>
      <c r="E90" s="30">
        <v>159.66611114666668</v>
      </c>
      <c r="F90" s="30">
        <v>190</v>
      </c>
      <c r="G90" s="30">
        <v>198</v>
      </c>
      <c r="H90" s="30">
        <v>547.6661111466667</v>
      </c>
    </row>
    <row r="91" spans="3:8" ht="15">
      <c r="C91" s="60" t="s">
        <v>134</v>
      </c>
      <c r="D91" s="62"/>
      <c r="E91" s="30">
        <v>334.09</v>
      </c>
      <c r="F91" s="30">
        <v>0</v>
      </c>
      <c r="G91" s="30">
        <v>82.5</v>
      </c>
      <c r="H91" s="30">
        <v>416.59</v>
      </c>
    </row>
    <row r="92" spans="3:8" ht="15">
      <c r="C92" s="60" t="s">
        <v>51</v>
      </c>
      <c r="D92" s="60"/>
      <c r="E92" s="30">
        <v>156.17</v>
      </c>
      <c r="F92" s="30">
        <v>5120</v>
      </c>
      <c r="G92" s="30">
        <v>99</v>
      </c>
      <c r="H92" s="30">
        <v>5375.17</v>
      </c>
    </row>
    <row r="93" spans="2:8" ht="15">
      <c r="B93" s="36" t="s">
        <v>92</v>
      </c>
      <c r="C93" s="36"/>
      <c r="D93" s="36"/>
      <c r="E93" s="30"/>
      <c r="F93" s="30"/>
      <c r="G93" s="30"/>
      <c r="H93" s="30"/>
    </row>
    <row r="94" spans="3:8" ht="15">
      <c r="C94" s="60" t="s">
        <v>70</v>
      </c>
      <c r="D94" s="60"/>
      <c r="E94" s="30">
        <v>0</v>
      </c>
      <c r="F94" s="30">
        <v>0</v>
      </c>
      <c r="G94" s="30">
        <v>2805</v>
      </c>
      <c r="H94" s="30">
        <v>2805</v>
      </c>
    </row>
    <row r="95" spans="3:8" ht="15">
      <c r="C95" s="167" t="s">
        <v>90</v>
      </c>
      <c r="D95" s="167"/>
      <c r="E95" s="30">
        <v>220.92413183400004</v>
      </c>
      <c r="F95" s="30">
        <v>0</v>
      </c>
      <c r="G95" s="30">
        <v>131.67000000000002</v>
      </c>
      <c r="H95" s="30">
        <v>352.59413183400005</v>
      </c>
    </row>
    <row r="96" spans="3:8" ht="15">
      <c r="C96" s="60" t="s">
        <v>134</v>
      </c>
      <c r="D96" s="62"/>
      <c r="E96" s="30">
        <v>751.71</v>
      </c>
      <c r="F96" s="30">
        <v>0</v>
      </c>
      <c r="G96" s="30">
        <v>181.5</v>
      </c>
      <c r="H96" s="30">
        <v>933.21</v>
      </c>
    </row>
    <row r="97" spans="3:8" ht="15">
      <c r="C97" s="60" t="s">
        <v>51</v>
      </c>
      <c r="D97" s="60"/>
      <c r="E97" s="30">
        <v>156.173958746</v>
      </c>
      <c r="F97" s="30">
        <v>1374.48</v>
      </c>
      <c r="G97" s="30">
        <v>99</v>
      </c>
      <c r="H97" s="30">
        <v>1629.65</v>
      </c>
    </row>
    <row r="98" spans="2:8" ht="15">
      <c r="B98" s="61" t="s">
        <v>109</v>
      </c>
      <c r="C98" s="61"/>
      <c r="D98" s="60"/>
      <c r="E98" s="30"/>
      <c r="F98" s="30"/>
      <c r="G98" s="30"/>
      <c r="H98" s="30"/>
    </row>
    <row r="99" spans="3:8" ht="15">
      <c r="C99" s="60" t="s">
        <v>51</v>
      </c>
      <c r="D99" s="60"/>
      <c r="E99" s="30">
        <v>156.17</v>
      </c>
      <c r="F99" s="30">
        <v>79.06</v>
      </c>
      <c r="G99" s="30">
        <v>99</v>
      </c>
      <c r="H99" s="30">
        <v>334.23</v>
      </c>
    </row>
    <row r="100" spans="3:8" ht="15">
      <c r="C100" s="60" t="s">
        <v>134</v>
      </c>
      <c r="D100" s="60"/>
      <c r="E100" s="30">
        <v>167.05</v>
      </c>
      <c r="F100" s="30">
        <v>0</v>
      </c>
      <c r="G100" s="30">
        <v>41.25</v>
      </c>
      <c r="H100" s="30">
        <v>208.3</v>
      </c>
    </row>
    <row r="101" spans="2:8" ht="15">
      <c r="B101" s="61" t="s">
        <v>93</v>
      </c>
      <c r="C101" s="61"/>
      <c r="D101" s="60"/>
      <c r="E101" s="30"/>
      <c r="F101" s="30"/>
      <c r="G101" s="30"/>
      <c r="H101" s="30"/>
    </row>
    <row r="102" spans="3:8" ht="15">
      <c r="C102" s="167" t="s">
        <v>90</v>
      </c>
      <c r="D102" s="167"/>
      <c r="E102" s="30">
        <v>220.92413183400004</v>
      </c>
      <c r="F102" s="30">
        <v>0</v>
      </c>
      <c r="G102" s="30">
        <v>131.67000000000002</v>
      </c>
      <c r="H102" s="30">
        <v>352.59413183400005</v>
      </c>
    </row>
    <row r="103" spans="3:8" ht="15">
      <c r="C103" s="60" t="s">
        <v>60</v>
      </c>
      <c r="D103" s="60"/>
      <c r="E103" s="30">
        <v>0</v>
      </c>
      <c r="F103" s="30">
        <v>0</v>
      </c>
      <c r="G103" s="30">
        <v>4290</v>
      </c>
      <c r="H103" s="30">
        <v>4290</v>
      </c>
    </row>
    <row r="104" spans="2:8" ht="15">
      <c r="B104" s="59" t="s">
        <v>85</v>
      </c>
      <c r="C104" s="36"/>
      <c r="D104" s="36"/>
      <c r="E104" s="30"/>
      <c r="F104" s="30"/>
      <c r="G104" s="30"/>
      <c r="H104" s="30"/>
    </row>
    <row r="105" spans="3:8" ht="15">
      <c r="C105" t="s">
        <v>45</v>
      </c>
      <c r="E105" s="30">
        <v>0</v>
      </c>
      <c r="F105" s="30">
        <v>360</v>
      </c>
      <c r="G105" s="30">
        <v>0</v>
      </c>
      <c r="H105" s="30">
        <v>360</v>
      </c>
    </row>
    <row r="106" spans="3:8" ht="15">
      <c r="C106" t="s">
        <v>46</v>
      </c>
      <c r="E106" s="30">
        <v>0</v>
      </c>
      <c r="F106" s="30">
        <v>0</v>
      </c>
      <c r="G106" s="30">
        <v>0</v>
      </c>
      <c r="H106" s="30">
        <v>0</v>
      </c>
    </row>
    <row r="107" spans="3:8" ht="15">
      <c r="C107" t="s">
        <v>47</v>
      </c>
      <c r="E107" s="30">
        <v>0</v>
      </c>
      <c r="F107" s="30">
        <v>0</v>
      </c>
      <c r="G107" s="30">
        <v>0</v>
      </c>
      <c r="H107" s="30">
        <v>0</v>
      </c>
    </row>
    <row r="108" spans="3:8" ht="15">
      <c r="C108" t="s">
        <v>48</v>
      </c>
      <c r="E108" s="30">
        <v>0</v>
      </c>
      <c r="F108" s="30">
        <v>600</v>
      </c>
      <c r="G108" s="30">
        <v>0</v>
      </c>
      <c r="H108" s="30">
        <v>600</v>
      </c>
    </row>
    <row r="109" spans="3:8" ht="15">
      <c r="C109" t="s">
        <v>49</v>
      </c>
      <c r="E109" s="30">
        <v>0</v>
      </c>
      <c r="F109" s="30">
        <v>500</v>
      </c>
      <c r="G109" s="30">
        <v>0</v>
      </c>
      <c r="H109" s="30">
        <v>500</v>
      </c>
    </row>
    <row r="110" spans="3:8" ht="15">
      <c r="C110" s="166" t="s">
        <v>86</v>
      </c>
      <c r="D110" s="166"/>
      <c r="E110" s="30">
        <v>624.1220784</v>
      </c>
      <c r="F110" s="30">
        <v>0</v>
      </c>
      <c r="G110" s="30">
        <v>396</v>
      </c>
      <c r="H110" s="30">
        <v>1020.1220784</v>
      </c>
    </row>
    <row r="111" spans="3:8" ht="15">
      <c r="C111" t="s">
        <v>50</v>
      </c>
      <c r="E111" s="34">
        <v>0</v>
      </c>
      <c r="F111" s="34">
        <v>0</v>
      </c>
      <c r="G111" s="34">
        <v>0</v>
      </c>
      <c r="H111" s="34">
        <v>0</v>
      </c>
    </row>
    <row r="112" spans="1:8" ht="15.75" thickBot="1">
      <c r="A112" s="160"/>
      <c r="B112" s="157" t="s">
        <v>103</v>
      </c>
      <c r="C112" s="157"/>
      <c r="D112" s="156"/>
      <c r="E112" s="158">
        <v>4772.25</v>
      </c>
      <c r="F112" s="158">
        <v>11192.82</v>
      </c>
      <c r="G112" s="158">
        <v>10748.43</v>
      </c>
      <c r="H112" s="158">
        <v>26713.5</v>
      </c>
    </row>
    <row r="113" spans="5:8" ht="15">
      <c r="E113" s="8"/>
      <c r="F113" s="8"/>
      <c r="G113" s="8"/>
      <c r="H113" s="8"/>
    </row>
    <row r="114" spans="1:8" ht="15">
      <c r="A114" s="61" t="s">
        <v>96</v>
      </c>
      <c r="C114" s="61"/>
      <c r="D114" s="60"/>
      <c r="E114" s="8"/>
      <c r="F114" s="8"/>
      <c r="G114" s="8"/>
      <c r="H114" s="8"/>
    </row>
    <row r="115" spans="2:8" ht="15">
      <c r="B115" s="61" t="s">
        <v>110</v>
      </c>
      <c r="C115" s="61"/>
      <c r="D115" s="60"/>
      <c r="E115" s="8"/>
      <c r="F115" s="8"/>
      <c r="G115" s="8"/>
      <c r="H115" s="8"/>
    </row>
    <row r="116" spans="3:8" ht="15">
      <c r="C116" s="167" t="s">
        <v>95</v>
      </c>
      <c r="D116" s="167"/>
      <c r="E116" s="30">
        <v>159.66611114666668</v>
      </c>
      <c r="F116" s="30">
        <v>960</v>
      </c>
      <c r="G116" s="30">
        <v>198</v>
      </c>
      <c r="H116" s="30">
        <v>1317.6661111466667</v>
      </c>
    </row>
    <row r="117" spans="2:8" ht="15">
      <c r="B117" s="59" t="s">
        <v>83</v>
      </c>
      <c r="C117" s="59"/>
      <c r="D117" s="62"/>
      <c r="E117" s="30"/>
      <c r="F117" s="30"/>
      <c r="G117" s="30"/>
      <c r="H117" s="30"/>
    </row>
    <row r="118" spans="3:8" ht="15">
      <c r="C118" s="60" t="s">
        <v>51</v>
      </c>
      <c r="D118" s="60"/>
      <c r="E118" s="30">
        <v>156.173958746</v>
      </c>
      <c r="F118" s="30">
        <v>1374.48</v>
      </c>
      <c r="G118" s="30">
        <v>99</v>
      </c>
      <c r="H118" s="30">
        <v>1629.65</v>
      </c>
    </row>
    <row r="119" spans="3:8" ht="15">
      <c r="C119" s="60" t="s">
        <v>133</v>
      </c>
      <c r="D119" s="60"/>
      <c r="E119" s="30">
        <v>0</v>
      </c>
      <c r="F119" s="30">
        <v>0</v>
      </c>
      <c r="G119" s="30">
        <v>5502.75</v>
      </c>
      <c r="H119" s="30">
        <v>5502.75</v>
      </c>
    </row>
    <row r="120" spans="2:8" ht="15">
      <c r="B120" s="61" t="s">
        <v>88</v>
      </c>
      <c r="C120" s="61"/>
      <c r="D120" s="60"/>
      <c r="E120" s="30"/>
      <c r="F120" s="30"/>
      <c r="G120" s="30"/>
      <c r="H120" s="30"/>
    </row>
    <row r="121" spans="3:8" ht="15">
      <c r="C121" s="60" t="s">
        <v>134</v>
      </c>
      <c r="D121" s="60"/>
      <c r="E121" s="30">
        <v>334.09</v>
      </c>
      <c r="F121" s="30">
        <v>0</v>
      </c>
      <c r="G121" s="30">
        <v>82.5</v>
      </c>
      <c r="H121" s="30">
        <v>416.59</v>
      </c>
    </row>
    <row r="122" spans="2:8" ht="15">
      <c r="B122" s="61" t="s">
        <v>89</v>
      </c>
      <c r="C122" s="61"/>
      <c r="D122" s="60"/>
      <c r="E122" s="30"/>
      <c r="F122" s="30"/>
      <c r="G122" s="30"/>
      <c r="H122" s="30"/>
    </row>
    <row r="123" spans="3:8" ht="15">
      <c r="C123" s="167" t="s">
        <v>95</v>
      </c>
      <c r="D123" s="167"/>
      <c r="E123" s="30">
        <v>159.66611114666668</v>
      </c>
      <c r="F123" s="30">
        <v>190</v>
      </c>
      <c r="G123" s="30">
        <v>198</v>
      </c>
      <c r="H123" s="30">
        <v>547.6661111466667</v>
      </c>
    </row>
    <row r="124" spans="3:8" ht="15">
      <c r="C124" s="167" t="s">
        <v>90</v>
      </c>
      <c r="D124" s="167"/>
      <c r="E124" s="30">
        <v>220.92413183400004</v>
      </c>
      <c r="F124" s="30">
        <v>0</v>
      </c>
      <c r="G124" s="30">
        <v>131.67000000000002</v>
      </c>
      <c r="H124" s="30">
        <v>352.59413183400005</v>
      </c>
    </row>
    <row r="125" spans="3:8" ht="15">
      <c r="C125" s="62" t="s">
        <v>134</v>
      </c>
      <c r="D125" s="62"/>
      <c r="E125" s="30">
        <v>417.62</v>
      </c>
      <c r="F125" s="30">
        <v>0</v>
      </c>
      <c r="G125" s="30">
        <v>99</v>
      </c>
      <c r="H125" s="30">
        <v>516.62</v>
      </c>
    </row>
    <row r="126" spans="2:8" ht="15">
      <c r="B126" s="61" t="s">
        <v>91</v>
      </c>
      <c r="C126" s="61"/>
      <c r="D126" s="60"/>
      <c r="E126" s="30"/>
      <c r="F126" s="30"/>
      <c r="G126" s="30"/>
      <c r="H126" s="30"/>
    </row>
    <row r="127" spans="3:8" ht="15">
      <c r="C127" s="60" t="s">
        <v>133</v>
      </c>
      <c r="D127" s="60"/>
      <c r="E127" s="30">
        <v>0</v>
      </c>
      <c r="F127" s="30">
        <v>0</v>
      </c>
      <c r="G127" s="30">
        <v>5502.75</v>
      </c>
      <c r="H127" s="30">
        <v>5502.75</v>
      </c>
    </row>
    <row r="128" spans="3:8" ht="15">
      <c r="C128" s="167" t="s">
        <v>90</v>
      </c>
      <c r="D128" s="167"/>
      <c r="E128" s="30">
        <v>220.92413183400004</v>
      </c>
      <c r="F128" s="30">
        <v>0</v>
      </c>
      <c r="G128" s="30">
        <v>131.67000000000002</v>
      </c>
      <c r="H128" s="30">
        <v>352.59413183400005</v>
      </c>
    </row>
    <row r="129" spans="3:8" ht="15">
      <c r="C129" s="167" t="s">
        <v>135</v>
      </c>
      <c r="D129" s="167"/>
      <c r="E129" s="30">
        <v>312.35</v>
      </c>
      <c r="F129" s="30">
        <v>889.6</v>
      </c>
      <c r="G129" s="30">
        <v>198</v>
      </c>
      <c r="H129" s="30">
        <v>1399.95</v>
      </c>
    </row>
    <row r="130" spans="3:8" ht="15">
      <c r="C130" s="62" t="s">
        <v>134</v>
      </c>
      <c r="D130" s="62"/>
      <c r="E130" s="30">
        <v>334.09</v>
      </c>
      <c r="F130" s="30">
        <v>0</v>
      </c>
      <c r="G130" s="30">
        <v>82.5</v>
      </c>
      <c r="H130" s="30">
        <v>416.59</v>
      </c>
    </row>
    <row r="131" spans="3:8" ht="15">
      <c r="C131" s="167" t="s">
        <v>95</v>
      </c>
      <c r="D131" s="167"/>
      <c r="E131" s="30">
        <v>159.66611114666668</v>
      </c>
      <c r="F131" s="30">
        <v>190</v>
      </c>
      <c r="G131" s="30">
        <v>198</v>
      </c>
      <c r="H131" s="30">
        <v>547.6661111466667</v>
      </c>
    </row>
    <row r="132" spans="2:8" ht="15">
      <c r="B132" s="36" t="s">
        <v>92</v>
      </c>
      <c r="C132" s="36"/>
      <c r="D132" s="36"/>
      <c r="E132" s="30"/>
      <c r="F132" s="30"/>
      <c r="G132" s="30"/>
      <c r="H132" s="30"/>
    </row>
    <row r="133" spans="3:8" ht="15">
      <c r="C133" s="167" t="s">
        <v>90</v>
      </c>
      <c r="D133" s="167"/>
      <c r="E133" s="30">
        <v>220.92413183400004</v>
      </c>
      <c r="F133" s="30">
        <v>0</v>
      </c>
      <c r="G133" s="30">
        <v>131.67000000000002</v>
      </c>
      <c r="H133" s="30">
        <v>352.59413183400005</v>
      </c>
    </row>
    <row r="134" spans="3:8" ht="15">
      <c r="C134" s="62" t="s">
        <v>134</v>
      </c>
      <c r="D134" s="62"/>
      <c r="E134" s="30">
        <v>751.71</v>
      </c>
      <c r="F134" s="30">
        <v>0</v>
      </c>
      <c r="G134" s="30">
        <v>181.5</v>
      </c>
      <c r="H134" s="30">
        <v>933.21</v>
      </c>
    </row>
    <row r="135" spans="3:8" ht="15">
      <c r="C135" s="167" t="s">
        <v>51</v>
      </c>
      <c r="D135" s="167"/>
      <c r="E135" s="30">
        <v>156.173958746</v>
      </c>
      <c r="F135" s="30">
        <v>1374.48</v>
      </c>
      <c r="G135" s="30">
        <v>99</v>
      </c>
      <c r="H135" s="30">
        <v>1629.65</v>
      </c>
    </row>
    <row r="136" spans="2:8" ht="15">
      <c r="B136" s="59" t="s">
        <v>109</v>
      </c>
      <c r="C136" s="59"/>
      <c r="D136" s="62"/>
      <c r="E136" s="30"/>
      <c r="F136" s="30"/>
      <c r="G136" s="30"/>
      <c r="H136" s="30"/>
    </row>
    <row r="137" spans="3:8" ht="15">
      <c r="C137" s="167" t="s">
        <v>51</v>
      </c>
      <c r="D137" s="167"/>
      <c r="E137" s="30">
        <v>156.17</v>
      </c>
      <c r="F137" s="30">
        <v>79.06</v>
      </c>
      <c r="G137" s="30">
        <v>99</v>
      </c>
      <c r="H137" s="30">
        <v>334.23</v>
      </c>
    </row>
    <row r="138" spans="3:8" ht="15">
      <c r="C138" s="62" t="s">
        <v>134</v>
      </c>
      <c r="D138" s="62"/>
      <c r="E138" s="30">
        <v>167.05</v>
      </c>
      <c r="F138" s="30">
        <v>0</v>
      </c>
      <c r="G138" s="30">
        <v>41.25</v>
      </c>
      <c r="H138" s="30">
        <v>208.3</v>
      </c>
    </row>
    <row r="139" spans="2:8" ht="15">
      <c r="B139" s="61" t="s">
        <v>93</v>
      </c>
      <c r="C139" s="61"/>
      <c r="D139" s="60"/>
      <c r="E139" s="30"/>
      <c r="F139" s="30"/>
      <c r="G139" s="30"/>
      <c r="H139" s="30"/>
    </row>
    <row r="140" spans="3:8" ht="15">
      <c r="C140" s="167" t="s">
        <v>90</v>
      </c>
      <c r="D140" s="167"/>
      <c r="E140" s="30">
        <v>220.92413183400004</v>
      </c>
      <c r="F140" s="30">
        <v>0</v>
      </c>
      <c r="G140" s="30">
        <v>131.67000000000002</v>
      </c>
      <c r="H140" s="30">
        <v>352.59413183400005</v>
      </c>
    </row>
    <row r="141" spans="3:8" ht="15">
      <c r="C141" s="60" t="s">
        <v>133</v>
      </c>
      <c r="D141" s="60"/>
      <c r="E141" s="30">
        <v>0</v>
      </c>
      <c r="F141" s="30">
        <v>0</v>
      </c>
      <c r="G141" s="30">
        <v>5502.75</v>
      </c>
      <c r="H141" s="30">
        <v>5502.75</v>
      </c>
    </row>
    <row r="142" spans="2:8" ht="15">
      <c r="B142" s="59" t="s">
        <v>85</v>
      </c>
      <c r="C142" s="36"/>
      <c r="D142" s="36"/>
      <c r="E142" s="30"/>
      <c r="F142" s="30"/>
      <c r="G142" s="30"/>
      <c r="H142" s="30"/>
    </row>
    <row r="143" spans="3:8" ht="15">
      <c r="C143" t="s">
        <v>45</v>
      </c>
      <c r="E143" s="30">
        <v>0</v>
      </c>
      <c r="F143" s="30">
        <v>400</v>
      </c>
      <c r="G143" s="30">
        <v>0</v>
      </c>
      <c r="H143" s="30">
        <v>400</v>
      </c>
    </row>
    <row r="144" spans="3:8" ht="15">
      <c r="C144" t="s">
        <v>46</v>
      </c>
      <c r="E144" s="30">
        <v>0</v>
      </c>
      <c r="F144" s="30">
        <v>0</v>
      </c>
      <c r="G144" s="30">
        <v>0</v>
      </c>
      <c r="H144" s="30">
        <v>0</v>
      </c>
    </row>
    <row r="145" spans="3:8" ht="15">
      <c r="C145" t="s">
        <v>47</v>
      </c>
      <c r="E145" s="30">
        <v>0</v>
      </c>
      <c r="F145" s="30">
        <v>0</v>
      </c>
      <c r="G145" s="30">
        <v>0</v>
      </c>
      <c r="H145" s="30">
        <v>0</v>
      </c>
    </row>
    <row r="146" spans="3:8" ht="15">
      <c r="C146" t="s">
        <v>48</v>
      </c>
      <c r="E146" s="30">
        <v>0</v>
      </c>
      <c r="F146" s="30">
        <v>800</v>
      </c>
      <c r="G146" s="30">
        <v>0</v>
      </c>
      <c r="H146" s="30">
        <v>800</v>
      </c>
    </row>
    <row r="147" spans="3:8" ht="15">
      <c r="C147" t="s">
        <v>49</v>
      </c>
      <c r="E147" s="30">
        <v>0</v>
      </c>
      <c r="F147" s="30">
        <v>560</v>
      </c>
      <c r="G147" s="30">
        <v>0</v>
      </c>
      <c r="H147" s="30">
        <v>560</v>
      </c>
    </row>
    <row r="148" spans="3:8" ht="15">
      <c r="C148" s="166" t="s">
        <v>86</v>
      </c>
      <c r="D148" s="166"/>
      <c r="E148" s="30">
        <v>624.1220784</v>
      </c>
      <c r="F148" s="30">
        <v>0</v>
      </c>
      <c r="G148" s="30">
        <v>396</v>
      </c>
      <c r="H148" s="30">
        <v>1020.1220784</v>
      </c>
    </row>
    <row r="149" spans="3:8" ht="15">
      <c r="C149" t="s">
        <v>50</v>
      </c>
      <c r="E149" s="34">
        <v>0</v>
      </c>
      <c r="F149" s="34">
        <v>0</v>
      </c>
      <c r="G149" s="34">
        <v>0</v>
      </c>
      <c r="H149" s="34">
        <v>0</v>
      </c>
    </row>
    <row r="150" spans="1:8" ht="15.75" thickBot="1">
      <c r="A150" s="160"/>
      <c r="B150" s="157" t="s">
        <v>104</v>
      </c>
      <c r="C150" s="157"/>
      <c r="D150" s="156"/>
      <c r="E150" s="158">
        <v>4772.25</v>
      </c>
      <c r="F150" s="158">
        <v>6817.62</v>
      </c>
      <c r="G150" s="158">
        <v>19006.68</v>
      </c>
      <c r="H150" s="158">
        <v>30596.55</v>
      </c>
    </row>
    <row r="151" spans="5:8" ht="15">
      <c r="E151" s="8"/>
      <c r="F151" s="8"/>
      <c r="G151" s="8"/>
      <c r="H151" s="8"/>
    </row>
    <row r="152" spans="1:8" ht="15">
      <c r="A152" s="61" t="s">
        <v>97</v>
      </c>
      <c r="C152" s="61"/>
      <c r="D152" s="60"/>
      <c r="E152" s="8"/>
      <c r="F152" s="8"/>
      <c r="G152" s="8"/>
      <c r="H152" s="8"/>
    </row>
    <row r="153" spans="2:8" ht="15">
      <c r="B153" s="61" t="s">
        <v>110</v>
      </c>
      <c r="C153" s="61"/>
      <c r="D153" s="60"/>
      <c r="E153" s="8"/>
      <c r="F153" s="8"/>
      <c r="G153" s="8"/>
      <c r="H153" s="8"/>
    </row>
    <row r="154" spans="3:8" ht="15">
      <c r="C154" s="167" t="s">
        <v>95</v>
      </c>
      <c r="D154" s="167"/>
      <c r="E154" s="30">
        <v>159.66611114666668</v>
      </c>
      <c r="F154" s="30">
        <v>960</v>
      </c>
      <c r="G154" s="30">
        <v>198</v>
      </c>
      <c r="H154" s="30">
        <v>1317.6661111466667</v>
      </c>
    </row>
    <row r="155" spans="2:8" ht="15">
      <c r="B155" s="59" t="s">
        <v>83</v>
      </c>
      <c r="C155" s="59"/>
      <c r="D155" s="62"/>
      <c r="E155" s="30"/>
      <c r="F155" s="30"/>
      <c r="G155" s="30"/>
      <c r="H155" s="30"/>
    </row>
    <row r="156" spans="3:8" ht="15">
      <c r="C156" s="60" t="s">
        <v>51</v>
      </c>
      <c r="D156" s="60"/>
      <c r="E156" s="30">
        <v>156.173958746</v>
      </c>
      <c r="F156" s="30">
        <v>1374.48</v>
      </c>
      <c r="G156" s="30">
        <v>99</v>
      </c>
      <c r="H156" s="30">
        <v>1629.65</v>
      </c>
    </row>
    <row r="157" spans="3:8" ht="15">
      <c r="C157" s="60" t="s">
        <v>133</v>
      </c>
      <c r="D157" s="60"/>
      <c r="E157" s="30">
        <v>0</v>
      </c>
      <c r="F157" s="30">
        <v>0</v>
      </c>
      <c r="G157" s="30">
        <v>4512.75</v>
      </c>
      <c r="H157" s="30">
        <v>4512.75</v>
      </c>
    </row>
    <row r="158" spans="2:8" ht="15">
      <c r="B158" s="61" t="s">
        <v>88</v>
      </c>
      <c r="C158" s="61"/>
      <c r="D158" s="60"/>
      <c r="E158" s="30"/>
      <c r="F158" s="30"/>
      <c r="G158" s="30"/>
      <c r="H158" s="30"/>
    </row>
    <row r="159" spans="3:8" ht="15">
      <c r="C159" s="60" t="s">
        <v>134</v>
      </c>
      <c r="D159" s="60"/>
      <c r="E159" s="30">
        <v>334.09</v>
      </c>
      <c r="F159" s="30">
        <v>0</v>
      </c>
      <c r="G159" s="30">
        <v>82.5</v>
      </c>
      <c r="H159" s="30">
        <v>416.59</v>
      </c>
    </row>
    <row r="160" spans="2:8" ht="15">
      <c r="B160" s="61" t="s">
        <v>89</v>
      </c>
      <c r="C160" s="61"/>
      <c r="D160" s="60"/>
      <c r="E160" s="30"/>
      <c r="F160" s="30"/>
      <c r="G160" s="30"/>
      <c r="H160" s="30"/>
    </row>
    <row r="161" spans="3:8" ht="15">
      <c r="C161" s="167" t="s">
        <v>95</v>
      </c>
      <c r="D161" s="167"/>
      <c r="E161" s="30">
        <v>159.66611114666668</v>
      </c>
      <c r="F161" s="30">
        <v>190</v>
      </c>
      <c r="G161" s="30">
        <v>198</v>
      </c>
      <c r="H161" s="30">
        <v>547.6661111466667</v>
      </c>
    </row>
    <row r="162" spans="3:8" ht="15">
      <c r="C162" s="167" t="s">
        <v>90</v>
      </c>
      <c r="D162" s="167"/>
      <c r="E162" s="30">
        <v>220.92413183400004</v>
      </c>
      <c r="F162" s="30">
        <v>0</v>
      </c>
      <c r="G162" s="30">
        <v>131.67000000000002</v>
      </c>
      <c r="H162" s="30">
        <v>352.59413183400005</v>
      </c>
    </row>
    <row r="163" spans="3:8" ht="15">
      <c r="C163" s="60" t="s">
        <v>134</v>
      </c>
      <c r="D163" s="62"/>
      <c r="E163" s="30">
        <v>417.62</v>
      </c>
      <c r="F163" s="30">
        <v>0</v>
      </c>
      <c r="G163" s="30">
        <v>99</v>
      </c>
      <c r="H163" s="30">
        <v>516.62</v>
      </c>
    </row>
    <row r="164" spans="2:8" ht="15">
      <c r="B164" s="61" t="s">
        <v>91</v>
      </c>
      <c r="C164" s="61"/>
      <c r="D164" s="60"/>
      <c r="E164" s="30"/>
      <c r="F164" s="30"/>
      <c r="G164" s="30"/>
      <c r="H164" s="30"/>
    </row>
    <row r="165" spans="3:8" ht="15">
      <c r="C165" s="60" t="s">
        <v>133</v>
      </c>
      <c r="D165" s="60"/>
      <c r="E165" s="30">
        <v>0</v>
      </c>
      <c r="F165" s="30">
        <v>0</v>
      </c>
      <c r="G165" s="30">
        <v>4512.75</v>
      </c>
      <c r="H165" s="30">
        <v>4512.75</v>
      </c>
    </row>
    <row r="166" spans="3:8" ht="15">
      <c r="C166" s="167" t="s">
        <v>90</v>
      </c>
      <c r="D166" s="167"/>
      <c r="E166" s="30">
        <v>220.92413183400004</v>
      </c>
      <c r="F166" s="30">
        <v>0</v>
      </c>
      <c r="G166" s="30">
        <v>131.67000000000002</v>
      </c>
      <c r="H166" s="30">
        <v>352.59413183400005</v>
      </c>
    </row>
    <row r="167" spans="3:8" ht="15">
      <c r="C167" s="60" t="s">
        <v>135</v>
      </c>
      <c r="D167" s="60"/>
      <c r="E167" s="30">
        <v>312.35</v>
      </c>
      <c r="F167" s="30">
        <v>889.6</v>
      </c>
      <c r="G167" s="30">
        <v>198</v>
      </c>
      <c r="H167" s="30">
        <v>1399.95</v>
      </c>
    </row>
    <row r="168" spans="3:8" ht="15">
      <c r="C168" s="60" t="s">
        <v>134</v>
      </c>
      <c r="D168" s="60"/>
      <c r="E168" s="30">
        <v>334.09</v>
      </c>
      <c r="F168" s="30">
        <v>0</v>
      </c>
      <c r="G168" s="30">
        <v>82.5</v>
      </c>
      <c r="H168" s="30">
        <v>416.59</v>
      </c>
    </row>
    <row r="169" spans="3:8" ht="15">
      <c r="C169" s="167" t="s">
        <v>95</v>
      </c>
      <c r="D169" s="167"/>
      <c r="E169" s="30">
        <v>159.66611114666668</v>
      </c>
      <c r="F169" s="30">
        <v>190</v>
      </c>
      <c r="G169" s="30">
        <v>198</v>
      </c>
      <c r="H169" s="30">
        <v>547.6661111466667</v>
      </c>
    </row>
    <row r="170" spans="2:8" ht="15">
      <c r="B170" s="36" t="s">
        <v>92</v>
      </c>
      <c r="C170" s="36"/>
      <c r="D170" s="36"/>
      <c r="E170" s="30"/>
      <c r="F170" s="30"/>
      <c r="G170" s="30"/>
      <c r="H170" s="30"/>
    </row>
    <row r="171" spans="3:8" ht="15">
      <c r="C171" s="167" t="s">
        <v>90</v>
      </c>
      <c r="D171" s="167"/>
      <c r="E171" s="30">
        <v>220.92413183400004</v>
      </c>
      <c r="F171" s="30">
        <v>0</v>
      </c>
      <c r="G171" s="30">
        <v>131.67000000000002</v>
      </c>
      <c r="H171" s="30">
        <v>352.59413183400005</v>
      </c>
    </row>
    <row r="172" spans="3:8" ht="15">
      <c r="C172" s="62" t="s">
        <v>134</v>
      </c>
      <c r="D172" s="62"/>
      <c r="E172" s="30">
        <v>751.71</v>
      </c>
      <c r="F172" s="30">
        <v>0</v>
      </c>
      <c r="G172" s="30">
        <v>181.5</v>
      </c>
      <c r="H172" s="30">
        <v>933.21</v>
      </c>
    </row>
    <row r="173" spans="3:8" ht="15">
      <c r="C173" s="60" t="s">
        <v>51</v>
      </c>
      <c r="D173" s="60"/>
      <c r="E173" s="30">
        <v>156.173958746</v>
      </c>
      <c r="F173" s="30">
        <v>1374.48</v>
      </c>
      <c r="G173" s="30">
        <v>99</v>
      </c>
      <c r="H173" s="30">
        <v>1629.65</v>
      </c>
    </row>
    <row r="174" spans="2:8" ht="15">
      <c r="B174" s="61" t="s">
        <v>109</v>
      </c>
      <c r="C174" s="61"/>
      <c r="D174" s="60"/>
      <c r="E174" s="30"/>
      <c r="F174" s="30"/>
      <c r="G174" s="30"/>
      <c r="H174" s="30"/>
    </row>
    <row r="175" spans="3:8" ht="15">
      <c r="C175" s="60" t="s">
        <v>51</v>
      </c>
      <c r="D175" s="60"/>
      <c r="E175" s="30">
        <v>156.17</v>
      </c>
      <c r="F175" s="30">
        <v>79.06</v>
      </c>
      <c r="G175" s="30">
        <v>99</v>
      </c>
      <c r="H175" s="30">
        <v>334.23</v>
      </c>
    </row>
    <row r="176" spans="3:8" ht="15">
      <c r="C176" s="62" t="s">
        <v>134</v>
      </c>
      <c r="D176" s="60"/>
      <c r="E176" s="30">
        <v>167.05</v>
      </c>
      <c r="F176" s="30">
        <v>0</v>
      </c>
      <c r="G176" s="30">
        <v>41.25</v>
      </c>
      <c r="H176" s="30">
        <v>208.3</v>
      </c>
    </row>
    <row r="177" spans="2:8" ht="15">
      <c r="B177" s="61" t="s">
        <v>93</v>
      </c>
      <c r="C177" s="61"/>
      <c r="D177" s="60"/>
      <c r="E177" s="30"/>
      <c r="F177" s="30"/>
      <c r="G177" s="30"/>
      <c r="H177" s="30"/>
    </row>
    <row r="178" spans="3:8" ht="15">
      <c r="C178" s="60" t="s">
        <v>133</v>
      </c>
      <c r="D178" s="60"/>
      <c r="E178" s="30">
        <v>0</v>
      </c>
      <c r="F178" s="30">
        <v>0</v>
      </c>
      <c r="G178" s="30">
        <v>4512.75</v>
      </c>
      <c r="H178" s="30">
        <v>4512.75</v>
      </c>
    </row>
    <row r="179" spans="3:8" ht="15">
      <c r="C179" s="167" t="s">
        <v>90</v>
      </c>
      <c r="D179" s="167"/>
      <c r="E179" s="30">
        <v>220.92413183400004</v>
      </c>
      <c r="F179" s="30">
        <v>0</v>
      </c>
      <c r="G179" s="30">
        <v>131.67000000000002</v>
      </c>
      <c r="H179" s="30">
        <v>352.59413183400005</v>
      </c>
    </row>
    <row r="180" spans="3:8" ht="15">
      <c r="C180" s="60" t="s">
        <v>61</v>
      </c>
      <c r="D180" s="60"/>
      <c r="E180" s="30">
        <v>1093.816759375</v>
      </c>
      <c r="F180" s="30">
        <v>0</v>
      </c>
      <c r="G180" s="30">
        <v>222.75</v>
      </c>
      <c r="H180" s="30">
        <v>1316.566759375</v>
      </c>
    </row>
    <row r="181" spans="3:8" ht="15">
      <c r="C181" s="60" t="s">
        <v>131</v>
      </c>
      <c r="D181" s="60"/>
      <c r="E181" s="30">
        <v>0</v>
      </c>
      <c r="F181" s="30">
        <v>34400.4</v>
      </c>
      <c r="G181" s="30">
        <v>185.625</v>
      </c>
      <c r="H181" s="30">
        <v>34586.025</v>
      </c>
    </row>
    <row r="182" spans="3:8" ht="15">
      <c r="C182" s="60" t="s">
        <v>62</v>
      </c>
      <c r="D182" s="60"/>
      <c r="E182" s="30">
        <v>521.6002656339131</v>
      </c>
      <c r="F182" s="30">
        <v>0</v>
      </c>
      <c r="G182" s="30">
        <v>222.75</v>
      </c>
      <c r="H182" s="30">
        <v>744.3502656339131</v>
      </c>
    </row>
    <row r="183" spans="3:8" ht="15">
      <c r="C183" s="60" t="s">
        <v>63</v>
      </c>
      <c r="D183" s="60"/>
      <c r="E183" s="30">
        <v>269.93966972967394</v>
      </c>
      <c r="F183" s="30">
        <v>0</v>
      </c>
      <c r="G183" s="30">
        <v>66.825</v>
      </c>
      <c r="H183" s="30">
        <v>336.7646697296739</v>
      </c>
    </row>
    <row r="184" spans="3:8" ht="15">
      <c r="C184" s="60" t="s">
        <v>64</v>
      </c>
      <c r="D184" s="60"/>
      <c r="E184" s="30">
        <v>65.8262007097826</v>
      </c>
      <c r="F184" s="30">
        <v>0</v>
      </c>
      <c r="G184" s="30">
        <v>44.55</v>
      </c>
      <c r="H184" s="30">
        <v>110.3762007097826</v>
      </c>
    </row>
    <row r="185" spans="2:8" ht="15">
      <c r="B185" s="59" t="s">
        <v>85</v>
      </c>
      <c r="C185" s="36"/>
      <c r="D185" s="36"/>
      <c r="E185" s="30"/>
      <c r="F185" s="30"/>
      <c r="G185" s="30"/>
      <c r="H185" s="30"/>
    </row>
    <row r="186" spans="3:8" ht="15">
      <c r="C186" t="s">
        <v>45</v>
      </c>
      <c r="E186" s="30">
        <v>0</v>
      </c>
      <c r="F186" s="30">
        <v>440</v>
      </c>
      <c r="G186" s="30">
        <v>0</v>
      </c>
      <c r="H186" s="30">
        <v>440</v>
      </c>
    </row>
    <row r="187" spans="3:8" ht="15">
      <c r="C187" t="s">
        <v>46</v>
      </c>
      <c r="E187" s="30">
        <v>0</v>
      </c>
      <c r="F187" s="30">
        <v>0</v>
      </c>
      <c r="G187" s="30">
        <v>0</v>
      </c>
      <c r="H187" s="30">
        <v>0</v>
      </c>
    </row>
    <row r="188" spans="3:8" ht="15">
      <c r="C188" t="s">
        <v>47</v>
      </c>
      <c r="E188" s="30">
        <v>0</v>
      </c>
      <c r="F188" s="30">
        <v>0</v>
      </c>
      <c r="G188" s="30">
        <v>0</v>
      </c>
      <c r="H188" s="30">
        <v>0</v>
      </c>
    </row>
    <row r="189" spans="3:8" ht="15">
      <c r="C189" t="s">
        <v>48</v>
      </c>
      <c r="E189" s="30">
        <v>0</v>
      </c>
      <c r="F189" s="30">
        <v>840</v>
      </c>
      <c r="G189" s="30">
        <v>0</v>
      </c>
      <c r="H189" s="30">
        <v>840</v>
      </c>
    </row>
    <row r="190" spans="3:8" ht="15">
      <c r="C190" t="s">
        <v>49</v>
      </c>
      <c r="E190" s="30">
        <v>0</v>
      </c>
      <c r="F190" s="30">
        <v>600</v>
      </c>
      <c r="G190" s="30">
        <v>0</v>
      </c>
      <c r="H190" s="30">
        <v>600</v>
      </c>
    </row>
    <row r="191" spans="3:8" ht="15">
      <c r="C191" t="s">
        <v>65</v>
      </c>
      <c r="E191" s="30"/>
      <c r="F191" s="30"/>
      <c r="G191" s="30"/>
      <c r="H191" s="30"/>
    </row>
    <row r="192" spans="3:8" ht="15">
      <c r="C192" t="s">
        <v>66</v>
      </c>
      <c r="E192" s="30">
        <v>0</v>
      </c>
      <c r="F192" s="30">
        <v>540</v>
      </c>
      <c r="G192" s="30">
        <v>0</v>
      </c>
      <c r="H192" s="30">
        <v>540</v>
      </c>
    </row>
    <row r="193" spans="3:8" ht="15">
      <c r="C193" t="s">
        <v>67</v>
      </c>
      <c r="E193" s="30">
        <v>0</v>
      </c>
      <c r="F193" s="30">
        <v>2700</v>
      </c>
      <c r="G193" s="30">
        <v>0</v>
      </c>
      <c r="H193" s="30">
        <v>2700</v>
      </c>
    </row>
    <row r="194" spans="3:8" ht="15">
      <c r="C194" t="s">
        <v>68</v>
      </c>
      <c r="E194" s="30">
        <v>0</v>
      </c>
      <c r="F194" s="30">
        <v>90</v>
      </c>
      <c r="G194" s="30">
        <v>0</v>
      </c>
      <c r="H194" s="30">
        <v>90</v>
      </c>
    </row>
    <row r="195" spans="3:8" ht="15">
      <c r="C195" t="s">
        <v>69</v>
      </c>
      <c r="E195" s="30">
        <v>0</v>
      </c>
      <c r="F195" s="30">
        <v>108</v>
      </c>
      <c r="G195" s="30">
        <v>0</v>
      </c>
      <c r="H195" s="30">
        <v>108</v>
      </c>
    </row>
    <row r="196" spans="3:8" ht="15">
      <c r="C196" s="166" t="s">
        <v>86</v>
      </c>
      <c r="D196" s="166"/>
      <c r="E196" s="30">
        <v>312.0610392</v>
      </c>
      <c r="F196" s="30">
        <v>0</v>
      </c>
      <c r="G196" s="30">
        <v>198</v>
      </c>
      <c r="H196" s="30">
        <v>510.0610392</v>
      </c>
    </row>
    <row r="197" spans="3:8" ht="15">
      <c r="C197" t="s">
        <v>50</v>
      </c>
      <c r="E197" s="30">
        <v>0</v>
      </c>
      <c r="F197" s="30">
        <v>0</v>
      </c>
      <c r="G197" s="30">
        <v>0</v>
      </c>
      <c r="H197" s="30">
        <v>0</v>
      </c>
    </row>
    <row r="198" spans="1:8" ht="15.75" thickBot="1">
      <c r="A198" s="160"/>
      <c r="B198" s="157" t="s">
        <v>105</v>
      </c>
      <c r="C198" s="157"/>
      <c r="D198" s="156"/>
      <c r="E198" s="158">
        <v>6411.37</v>
      </c>
      <c r="F198" s="158">
        <v>44776.02</v>
      </c>
      <c r="G198" s="158">
        <v>16581.18</v>
      </c>
      <c r="H198" s="158">
        <v>67768.57</v>
      </c>
    </row>
    <row r="199" spans="5:8" ht="15">
      <c r="E199" s="8"/>
      <c r="F199" s="8"/>
      <c r="G199" s="8"/>
      <c r="H199" s="8"/>
    </row>
    <row r="200" spans="1:8" ht="15">
      <c r="A200" s="61" t="s">
        <v>108</v>
      </c>
      <c r="C200" s="61"/>
      <c r="D200" s="60"/>
      <c r="E200" s="8"/>
      <c r="F200" s="8"/>
      <c r="G200" s="8"/>
      <c r="H200" s="8"/>
    </row>
    <row r="201" spans="2:8" ht="15">
      <c r="B201" s="63" t="s">
        <v>110</v>
      </c>
      <c r="C201" s="63"/>
      <c r="D201" s="60"/>
      <c r="E201" s="8"/>
      <c r="F201" s="8"/>
      <c r="G201" s="8"/>
      <c r="H201" s="8"/>
    </row>
    <row r="202" spans="3:8" ht="15">
      <c r="C202" s="167" t="s">
        <v>95</v>
      </c>
      <c r="D202" s="167"/>
      <c r="E202" s="30">
        <v>159.66611114666668</v>
      </c>
      <c r="F202" s="30">
        <v>960</v>
      </c>
      <c r="G202" s="30">
        <v>198</v>
      </c>
      <c r="H202" s="30">
        <v>1317.6661111466667</v>
      </c>
    </row>
    <row r="203" spans="2:8" ht="15">
      <c r="B203" s="61" t="s">
        <v>83</v>
      </c>
      <c r="C203" s="61"/>
      <c r="D203" s="60"/>
      <c r="E203" s="30"/>
      <c r="F203" s="30"/>
      <c r="G203" s="30"/>
      <c r="H203" s="30"/>
    </row>
    <row r="204" spans="3:8" ht="15">
      <c r="C204" s="60" t="s">
        <v>133</v>
      </c>
      <c r="D204" s="60"/>
      <c r="E204" s="30">
        <v>0</v>
      </c>
      <c r="F204" s="30">
        <v>0</v>
      </c>
      <c r="G204" s="30">
        <v>2037.75</v>
      </c>
      <c r="H204" s="30">
        <v>2037.75</v>
      </c>
    </row>
    <row r="205" spans="2:8" ht="15">
      <c r="B205" s="61" t="s">
        <v>88</v>
      </c>
      <c r="C205" s="61"/>
      <c r="D205" s="60"/>
      <c r="E205" s="30"/>
      <c r="F205" s="30"/>
      <c r="G205" s="30"/>
      <c r="H205" s="30"/>
    </row>
    <row r="206" spans="3:8" ht="15">
      <c r="C206" s="60" t="s">
        <v>134</v>
      </c>
      <c r="D206" s="60"/>
      <c r="E206" s="30">
        <v>334.09</v>
      </c>
      <c r="F206" s="30">
        <v>0</v>
      </c>
      <c r="G206" s="30">
        <v>82.5</v>
      </c>
      <c r="H206" s="30">
        <v>416.59</v>
      </c>
    </row>
    <row r="207" spans="2:8" ht="15">
      <c r="B207" s="61" t="s">
        <v>89</v>
      </c>
      <c r="C207" s="61"/>
      <c r="D207" s="60"/>
      <c r="E207" s="30"/>
      <c r="F207" s="30"/>
      <c r="G207" s="30"/>
      <c r="H207" s="30"/>
    </row>
    <row r="208" spans="3:8" ht="15">
      <c r="C208" s="60" t="s">
        <v>133</v>
      </c>
      <c r="D208" s="60"/>
      <c r="E208" s="30">
        <v>0</v>
      </c>
      <c r="F208" s="30">
        <v>0</v>
      </c>
      <c r="G208" s="30">
        <v>2037.75</v>
      </c>
      <c r="H208" s="30">
        <v>2037.75</v>
      </c>
    </row>
    <row r="209" spans="3:8" ht="15">
      <c r="C209" s="60" t="s">
        <v>90</v>
      </c>
      <c r="D209" s="60"/>
      <c r="E209" s="30">
        <v>220.92413183400004</v>
      </c>
      <c r="F209" s="30">
        <v>0</v>
      </c>
      <c r="G209" s="30">
        <v>131.67000000000002</v>
      </c>
      <c r="H209" s="30">
        <v>352.59413183400005</v>
      </c>
    </row>
    <row r="210" spans="3:8" ht="15">
      <c r="C210" s="60" t="s">
        <v>61</v>
      </c>
      <c r="D210" s="60"/>
      <c r="E210" s="30">
        <v>1093.816759375</v>
      </c>
      <c r="F210" s="30">
        <v>0</v>
      </c>
      <c r="G210" s="30">
        <v>222.75</v>
      </c>
      <c r="H210" s="30">
        <v>1316.566759375</v>
      </c>
    </row>
    <row r="211" spans="3:8" ht="15">
      <c r="C211" s="60" t="s">
        <v>131</v>
      </c>
      <c r="D211" s="60"/>
      <c r="E211" s="30">
        <v>0</v>
      </c>
      <c r="F211" s="30">
        <v>34400.4</v>
      </c>
      <c r="G211" s="30">
        <v>185.625</v>
      </c>
      <c r="H211" s="30">
        <v>34586.025</v>
      </c>
    </row>
    <row r="212" spans="3:8" ht="15">
      <c r="C212" s="60" t="s">
        <v>62</v>
      </c>
      <c r="D212" s="60"/>
      <c r="E212" s="30">
        <v>521.6002656339131</v>
      </c>
      <c r="F212" s="30">
        <v>0</v>
      </c>
      <c r="G212" s="30">
        <v>222.75</v>
      </c>
      <c r="H212" s="30">
        <v>744.3502656339131</v>
      </c>
    </row>
    <row r="213" spans="3:8" ht="15">
      <c r="C213" s="60" t="s">
        <v>63</v>
      </c>
      <c r="D213" s="60"/>
      <c r="E213" s="30">
        <v>269.93966972967394</v>
      </c>
      <c r="F213" s="30">
        <v>0</v>
      </c>
      <c r="G213" s="30">
        <v>66.825</v>
      </c>
      <c r="H213" s="30">
        <v>336.7646697296739</v>
      </c>
    </row>
    <row r="214" spans="3:8" ht="15">
      <c r="C214" s="60" t="s">
        <v>64</v>
      </c>
      <c r="D214" s="60"/>
      <c r="E214" s="30">
        <v>65.8262007097826</v>
      </c>
      <c r="F214" s="30">
        <v>0</v>
      </c>
      <c r="G214" s="30">
        <v>44.55</v>
      </c>
      <c r="H214" s="30">
        <v>110.3762007097826</v>
      </c>
    </row>
    <row r="215" spans="2:8" ht="15">
      <c r="B215" s="59" t="s">
        <v>85</v>
      </c>
      <c r="C215" s="36"/>
      <c r="D215" s="36"/>
      <c r="E215" s="30"/>
      <c r="F215" s="30"/>
      <c r="G215" s="30"/>
      <c r="H215" s="30"/>
    </row>
    <row r="216" spans="3:8" ht="15">
      <c r="C216" t="s">
        <v>45</v>
      </c>
      <c r="E216" s="30">
        <v>0</v>
      </c>
      <c r="F216" s="30">
        <v>480</v>
      </c>
      <c r="G216" s="30">
        <v>0</v>
      </c>
      <c r="H216" s="30">
        <v>480</v>
      </c>
    </row>
    <row r="217" spans="3:8" ht="15">
      <c r="C217" t="s">
        <v>46</v>
      </c>
      <c r="E217" s="30">
        <v>0</v>
      </c>
      <c r="F217" s="30">
        <v>0</v>
      </c>
      <c r="G217" s="30">
        <v>0</v>
      </c>
      <c r="H217" s="30">
        <v>0</v>
      </c>
    </row>
    <row r="218" spans="3:8" ht="15">
      <c r="C218" t="s">
        <v>47</v>
      </c>
      <c r="E218" s="30">
        <v>0</v>
      </c>
      <c r="F218" s="30">
        <v>0</v>
      </c>
      <c r="G218" s="30">
        <v>0</v>
      </c>
      <c r="H218" s="30">
        <v>0</v>
      </c>
    </row>
    <row r="219" spans="3:8" ht="15">
      <c r="C219" t="s">
        <v>48</v>
      </c>
      <c r="E219" s="30">
        <v>0</v>
      </c>
      <c r="F219" s="30">
        <v>840</v>
      </c>
      <c r="G219" s="30">
        <v>0</v>
      </c>
      <c r="H219" s="30">
        <v>840</v>
      </c>
    </row>
    <row r="220" spans="3:8" ht="15">
      <c r="C220" t="s">
        <v>49</v>
      </c>
      <c r="E220" s="30">
        <v>0</v>
      </c>
      <c r="F220" s="30">
        <v>600</v>
      </c>
      <c r="G220" s="30">
        <v>0</v>
      </c>
      <c r="H220" s="30">
        <v>600</v>
      </c>
    </row>
    <row r="221" spans="3:8" ht="15">
      <c r="C221" t="s">
        <v>65</v>
      </c>
      <c r="E221" s="30"/>
      <c r="F221" s="30"/>
      <c r="G221" s="30"/>
      <c r="H221" s="30"/>
    </row>
    <row r="222" spans="3:8" ht="15">
      <c r="C222" t="s">
        <v>66</v>
      </c>
      <c r="E222" s="30">
        <v>0</v>
      </c>
      <c r="F222" s="30">
        <v>540</v>
      </c>
      <c r="G222" s="30">
        <v>0</v>
      </c>
      <c r="H222" s="30">
        <v>540</v>
      </c>
    </row>
    <row r="223" spans="3:8" ht="15">
      <c r="C223" t="s">
        <v>67</v>
      </c>
      <c r="E223" s="30">
        <v>0</v>
      </c>
      <c r="F223" s="30">
        <v>2700</v>
      </c>
      <c r="G223" s="30">
        <v>0</v>
      </c>
      <c r="H223" s="30">
        <v>2700</v>
      </c>
    </row>
    <row r="224" spans="3:8" ht="15">
      <c r="C224" t="s">
        <v>68</v>
      </c>
      <c r="E224" s="30">
        <v>0</v>
      </c>
      <c r="F224" s="30">
        <v>90</v>
      </c>
      <c r="G224" s="30">
        <v>0</v>
      </c>
      <c r="H224" s="30">
        <v>90</v>
      </c>
    </row>
    <row r="225" spans="3:8" ht="15">
      <c r="C225" t="s">
        <v>69</v>
      </c>
      <c r="E225" s="30">
        <v>0</v>
      </c>
      <c r="F225" s="30">
        <v>108</v>
      </c>
      <c r="G225" s="30">
        <v>0</v>
      </c>
      <c r="H225" s="30">
        <v>108</v>
      </c>
    </row>
    <row r="226" spans="3:8" ht="15">
      <c r="C226" t="s">
        <v>59</v>
      </c>
      <c r="E226" s="30">
        <v>0</v>
      </c>
      <c r="F226" s="30">
        <v>0</v>
      </c>
      <c r="G226" s="30">
        <v>0</v>
      </c>
      <c r="H226" s="30">
        <v>0</v>
      </c>
    </row>
    <row r="227" spans="3:8" ht="15">
      <c r="C227" s="166" t="s">
        <v>86</v>
      </c>
      <c r="D227" s="166"/>
      <c r="E227" s="30">
        <v>312.0610392</v>
      </c>
      <c r="F227" s="30">
        <v>0</v>
      </c>
      <c r="G227" s="30">
        <v>198</v>
      </c>
      <c r="H227" s="30">
        <v>510.0610392</v>
      </c>
    </row>
    <row r="228" spans="3:8" ht="15">
      <c r="C228" t="s">
        <v>50</v>
      </c>
      <c r="E228" s="30">
        <v>0</v>
      </c>
      <c r="F228" s="30">
        <v>0</v>
      </c>
      <c r="G228" s="30">
        <v>0</v>
      </c>
      <c r="H228" s="30">
        <v>0</v>
      </c>
    </row>
    <row r="229" spans="1:8" ht="15.75" thickBot="1">
      <c r="A229" s="160"/>
      <c r="B229" s="157" t="s">
        <v>106</v>
      </c>
      <c r="C229" s="157"/>
      <c r="D229" s="157"/>
      <c r="E229" s="158">
        <v>2977.93</v>
      </c>
      <c r="F229" s="158">
        <v>40718.4</v>
      </c>
      <c r="G229" s="158">
        <v>5428.17</v>
      </c>
      <c r="H229" s="158">
        <v>49124.5</v>
      </c>
    </row>
  </sheetData>
  <sheetProtection password="96BD" sheet="1"/>
  <mergeCells count="38">
    <mergeCell ref="C110:D110"/>
    <mergeCell ref="C8:D8"/>
    <mergeCell ref="C76:D76"/>
    <mergeCell ref="C83:D83"/>
    <mergeCell ref="C84:D84"/>
    <mergeCell ref="C88:D88"/>
    <mergeCell ref="C17:D17"/>
    <mergeCell ref="C70:D70"/>
    <mergeCell ref="C14:D14"/>
    <mergeCell ref="C140:D140"/>
    <mergeCell ref="C131:D131"/>
    <mergeCell ref="C196:D196"/>
    <mergeCell ref="C137:D137"/>
    <mergeCell ref="C148:D148"/>
    <mergeCell ref="C154:D154"/>
    <mergeCell ref="C161:D161"/>
    <mergeCell ref="C124:D124"/>
    <mergeCell ref="C90:D90"/>
    <mergeCell ref="C116:D116"/>
    <mergeCell ref="C123:D123"/>
    <mergeCell ref="C202:D202"/>
    <mergeCell ref="C169:D169"/>
    <mergeCell ref="C102:D102"/>
    <mergeCell ref="C1:H1"/>
    <mergeCell ref="C2:H2"/>
    <mergeCell ref="C5:D5"/>
    <mergeCell ref="C7:D7"/>
    <mergeCell ref="C13:D13"/>
    <mergeCell ref="C227:D227"/>
    <mergeCell ref="C162:D162"/>
    <mergeCell ref="C166:D166"/>
    <mergeCell ref="C171:D171"/>
    <mergeCell ref="C179:D179"/>
    <mergeCell ref="C95:D95"/>
    <mergeCell ref="C128:D128"/>
    <mergeCell ref="C129:D129"/>
    <mergeCell ref="C133:D133"/>
    <mergeCell ref="C135:D135"/>
  </mergeCells>
  <printOptions/>
  <pageMargins left="0.7" right="0.7" top="0.75" bottom="0.75" header="0.3" footer="0.3"/>
  <pageSetup horizontalDpi="600" verticalDpi="600" orientation="portrait" r:id="rId1"/>
  <rowBreaks count="5" manualBreakCount="5">
    <brk id="42" max="255" man="1"/>
    <brk id="79" max="255" man="1"/>
    <brk id="119" max="255" man="1"/>
    <brk id="150" max="255" man="1"/>
    <brk id="188" max="255" man="1"/>
  </rowBreaks>
</worksheet>
</file>

<file path=xl/worksheets/sheet4.xml><?xml version="1.0" encoding="utf-8"?>
<worksheet xmlns="http://schemas.openxmlformats.org/spreadsheetml/2006/main" xmlns:r="http://schemas.openxmlformats.org/officeDocument/2006/relationships">
  <sheetPr>
    <tabColor rgb="FFFFFF00"/>
  </sheetPr>
  <dimension ref="B1:H47"/>
  <sheetViews>
    <sheetView view="pageBreakPreview" zoomScaleSheetLayoutView="100" zoomScalePageLayoutView="0" workbookViewId="0" topLeftCell="A25">
      <selection activeCell="E46" sqref="E46"/>
    </sheetView>
  </sheetViews>
  <sheetFormatPr defaultColWidth="9.140625" defaultRowHeight="15"/>
  <cols>
    <col min="2" max="2" width="15.7109375" style="0" customWidth="1"/>
    <col min="3" max="3" width="14.7109375" style="0" customWidth="1"/>
    <col min="4" max="5" width="12.7109375" style="0" customWidth="1"/>
    <col min="6" max="6" width="10.7109375" style="0" customWidth="1"/>
    <col min="7" max="7" width="12.7109375" style="0" customWidth="1"/>
  </cols>
  <sheetData>
    <row r="1" spans="2:8" ht="15">
      <c r="B1" s="162" t="s">
        <v>112</v>
      </c>
      <c r="C1" s="162"/>
      <c r="D1" s="162"/>
      <c r="E1" s="162"/>
      <c r="F1" s="162"/>
      <c r="G1" s="162"/>
      <c r="H1" s="41"/>
    </row>
    <row r="2" spans="2:8" ht="15">
      <c r="B2" s="162" t="s">
        <v>124</v>
      </c>
      <c r="C2" s="162"/>
      <c r="D2" s="162"/>
      <c r="E2" s="162"/>
      <c r="F2" s="162"/>
      <c r="G2" s="162"/>
      <c r="H2" s="37"/>
    </row>
    <row r="3" ht="15">
      <c r="B3" s="33" t="s">
        <v>18</v>
      </c>
    </row>
    <row r="4" ht="15.75" thickBot="1"/>
    <row r="5" spans="2:7" ht="15">
      <c r="B5" s="33" t="s">
        <v>101</v>
      </c>
      <c r="D5">
        <v>660</v>
      </c>
      <c r="F5" s="4"/>
      <c r="G5" s="5" t="s">
        <v>24</v>
      </c>
    </row>
    <row r="6" spans="2:7" ht="15">
      <c r="B6" s="33" t="s">
        <v>73</v>
      </c>
      <c r="D6">
        <v>20</v>
      </c>
      <c r="F6" s="29" t="s">
        <v>0</v>
      </c>
      <c r="G6" s="2" t="s">
        <v>100</v>
      </c>
    </row>
    <row r="7" spans="2:7" ht="15">
      <c r="B7" s="33" t="s">
        <v>3</v>
      </c>
      <c r="D7" s="18">
        <v>0.1</v>
      </c>
      <c r="F7" s="32" t="s">
        <v>99</v>
      </c>
      <c r="G7" s="32" t="s">
        <v>98</v>
      </c>
    </row>
    <row r="8" spans="2:7" ht="15">
      <c r="B8" s="33" t="s">
        <v>4</v>
      </c>
      <c r="D8" s="16">
        <v>13200</v>
      </c>
      <c r="F8" s="2" t="s">
        <v>1</v>
      </c>
      <c r="G8" s="3">
        <v>0.5</v>
      </c>
    </row>
    <row r="9" spans="2:7" ht="15.75" thickBot="1">
      <c r="B9" s="33" t="s">
        <v>5</v>
      </c>
      <c r="D9" s="16">
        <v>11880</v>
      </c>
      <c r="F9" s="7" t="s">
        <v>2</v>
      </c>
      <c r="G9" s="14">
        <v>0.5</v>
      </c>
    </row>
    <row r="11" ht="15">
      <c r="B11" s="33" t="s">
        <v>141</v>
      </c>
    </row>
    <row r="12" ht="15.75" thickBot="1"/>
    <row r="13" spans="2:7" ht="15.75" thickBot="1">
      <c r="B13" s="4"/>
      <c r="C13" s="5" t="s">
        <v>8</v>
      </c>
      <c r="D13" s="5" t="s">
        <v>9</v>
      </c>
      <c r="E13" s="5" t="s">
        <v>6</v>
      </c>
      <c r="F13" s="172" t="s">
        <v>72</v>
      </c>
      <c r="G13" s="172"/>
    </row>
    <row r="14" spans="2:7" ht="15.75" thickBot="1">
      <c r="B14" s="6" t="s">
        <v>7</v>
      </c>
      <c r="C14" s="7" t="s">
        <v>71</v>
      </c>
      <c r="D14" s="7" t="s">
        <v>71</v>
      </c>
      <c r="E14" s="7" t="s">
        <v>10</v>
      </c>
      <c r="F14" s="7" t="s">
        <v>8</v>
      </c>
      <c r="G14" s="7" t="s">
        <v>9</v>
      </c>
    </row>
    <row r="15" spans="2:7" ht="15">
      <c r="B15" t="s">
        <v>11</v>
      </c>
      <c r="C15" s="13">
        <v>198532.1199398106</v>
      </c>
      <c r="D15" s="13">
        <v>198532.1199398106</v>
      </c>
      <c r="E15" s="1">
        <v>11880</v>
      </c>
      <c r="F15" s="13">
        <v>16.711457907391463</v>
      </c>
      <c r="G15" s="13">
        <v>16.711457907391463</v>
      </c>
    </row>
    <row r="16" spans="2:7" ht="15">
      <c r="B16" t="s">
        <v>12</v>
      </c>
      <c r="C16" s="13">
        <v>30164.751595694008</v>
      </c>
      <c r="D16" s="13">
        <v>228696.87153550462</v>
      </c>
      <c r="E16" s="1">
        <v>11880</v>
      </c>
      <c r="F16" s="13">
        <v>2.539120504688048</v>
      </c>
      <c r="G16" s="13">
        <v>19.25057841207951</v>
      </c>
    </row>
    <row r="17" spans="2:7" ht="15">
      <c r="B17" t="s">
        <v>13</v>
      </c>
      <c r="C17" s="13">
        <v>26713.496312906</v>
      </c>
      <c r="D17" s="13">
        <v>255410.36784841062</v>
      </c>
      <c r="E17" s="1">
        <v>11880</v>
      </c>
      <c r="F17" s="13">
        <v>2.2486108007496632</v>
      </c>
      <c r="G17" s="13">
        <v>21.499189212829172</v>
      </c>
    </row>
    <row r="18" spans="2:7" ht="15">
      <c r="B18" t="s">
        <v>14</v>
      </c>
      <c r="C18" s="13">
        <v>30596.546312906004</v>
      </c>
      <c r="D18" s="13">
        <v>286006.91416131664</v>
      </c>
      <c r="E18" s="1">
        <v>11880</v>
      </c>
      <c r="F18" s="13">
        <v>2.575466861355724</v>
      </c>
      <c r="G18" s="13">
        <v>24.074656074184897</v>
      </c>
    </row>
    <row r="19" spans="2:7" ht="15">
      <c r="B19" t="s">
        <v>1</v>
      </c>
      <c r="C19" s="13">
        <v>67768.56816915437</v>
      </c>
      <c r="D19" s="13">
        <v>353775.48233047104</v>
      </c>
      <c r="E19" s="1">
        <v>11880</v>
      </c>
      <c r="F19" s="13">
        <v>5.7044249300634995</v>
      </c>
      <c r="G19" s="50">
        <v>29.779081004248397</v>
      </c>
    </row>
    <row r="20" spans="2:7" ht="15.75" thickBot="1">
      <c r="B20" t="s">
        <v>2</v>
      </c>
      <c r="C20" s="13">
        <v>49124.49744096237</v>
      </c>
      <c r="D20" s="19">
        <v>402899.9797714334</v>
      </c>
      <c r="E20" s="1">
        <v>5940</v>
      </c>
      <c r="F20" s="13">
        <v>8.27011741430343</v>
      </c>
      <c r="G20" s="50">
        <v>38.049198418551825</v>
      </c>
    </row>
    <row r="21" spans="2:7" ht="15">
      <c r="B21" s="15" t="s">
        <v>15</v>
      </c>
      <c r="C21" s="51">
        <v>402899.9797714334</v>
      </c>
      <c r="D21" s="28"/>
      <c r="E21" s="21">
        <v>0</v>
      </c>
      <c r="F21" s="28"/>
      <c r="G21" s="28"/>
    </row>
    <row r="22" spans="2:7" ht="15.75" thickBot="1">
      <c r="B22" s="6" t="s">
        <v>16</v>
      </c>
      <c r="C22" s="6"/>
      <c r="D22" s="6"/>
      <c r="E22" s="6"/>
      <c r="F22" s="6"/>
      <c r="G22" s="48">
        <f>C21/D9</f>
        <v>33.91413971140012</v>
      </c>
    </row>
    <row r="23" ht="15.75" thickBot="1"/>
    <row r="24" spans="2:7" ht="15">
      <c r="B24" s="33" t="s">
        <v>17</v>
      </c>
      <c r="C24" s="4" t="s">
        <v>0</v>
      </c>
      <c r="D24" s="4"/>
      <c r="E24" s="5" t="s">
        <v>6</v>
      </c>
      <c r="F24" s="5" t="s">
        <v>19</v>
      </c>
      <c r="G24" s="5" t="s">
        <v>15</v>
      </c>
    </row>
    <row r="25" spans="3:7" ht="15.75" thickBot="1">
      <c r="C25" s="6" t="s">
        <v>7</v>
      </c>
      <c r="D25" s="6"/>
      <c r="E25" s="7" t="s">
        <v>74</v>
      </c>
      <c r="F25" s="7" t="s">
        <v>20</v>
      </c>
      <c r="G25" s="7" t="s">
        <v>35</v>
      </c>
    </row>
    <row r="26" spans="3:7" ht="15">
      <c r="C26" t="s">
        <v>1</v>
      </c>
      <c r="E26" s="1">
        <f>G8*D9</f>
        <v>5940</v>
      </c>
      <c r="F26" s="13">
        <f>G19</f>
        <v>29.779081004248397</v>
      </c>
      <c r="G26" s="8">
        <f>E26*F26</f>
        <v>176887.74116523546</v>
      </c>
    </row>
    <row r="27" spans="3:7" ht="15">
      <c r="C27" t="s">
        <v>2</v>
      </c>
      <c r="E27" s="23">
        <f>G9*D9</f>
        <v>5940</v>
      </c>
      <c r="F27" s="13">
        <f>G20</f>
        <v>38.049198418551825</v>
      </c>
      <c r="G27" s="24">
        <f>E27*F27</f>
        <v>226012.23860619785</v>
      </c>
    </row>
    <row r="28" spans="3:7" ht="15.75" thickBot="1">
      <c r="C28" s="11" t="s">
        <v>15</v>
      </c>
      <c r="D28" s="11"/>
      <c r="E28" s="12">
        <f>SUM(E26:E27)</f>
        <v>11880</v>
      </c>
      <c r="F28" s="20"/>
      <c r="G28" s="52">
        <f>SUM(G26:G27)</f>
        <v>402899.9797714333</v>
      </c>
    </row>
    <row r="29" spans="3:7" ht="15">
      <c r="C29" s="27" t="s">
        <v>79</v>
      </c>
      <c r="E29" s="1"/>
      <c r="F29" s="13"/>
      <c r="G29" s="8"/>
    </row>
    <row r="30" spans="3:7" ht="15.75" thickBot="1">
      <c r="C30" s="6" t="s">
        <v>16</v>
      </c>
      <c r="D30" s="6"/>
      <c r="E30" s="10">
        <f>D9</f>
        <v>11880</v>
      </c>
      <c r="F30" s="17">
        <f>G22</f>
        <v>33.91413971140012</v>
      </c>
      <c r="G30" s="53">
        <f>E30*F30</f>
        <v>402899.9797714334</v>
      </c>
    </row>
    <row r="32" ht="15">
      <c r="B32" s="33" t="s">
        <v>21</v>
      </c>
    </row>
    <row r="33" ht="15.75" thickBot="1"/>
    <row r="34" spans="2:7" ht="15">
      <c r="B34" s="4" t="s">
        <v>0</v>
      </c>
      <c r="C34" s="5" t="s">
        <v>0</v>
      </c>
      <c r="D34" s="5" t="s">
        <v>6</v>
      </c>
      <c r="E34" s="5" t="s">
        <v>20</v>
      </c>
      <c r="F34" s="5" t="s">
        <v>22</v>
      </c>
      <c r="G34" s="5" t="s">
        <v>23</v>
      </c>
    </row>
    <row r="35" spans="2:7" ht="15.75" thickBot="1">
      <c r="B35" s="6" t="s">
        <v>7</v>
      </c>
      <c r="C35" s="7" t="s">
        <v>24</v>
      </c>
      <c r="D35" s="7" t="s">
        <v>74</v>
      </c>
      <c r="E35" s="7" t="s">
        <v>25</v>
      </c>
      <c r="F35" s="7" t="s">
        <v>26</v>
      </c>
      <c r="G35" s="7" t="s">
        <v>27</v>
      </c>
    </row>
    <row r="36" spans="2:7" s="55" customFormat="1" ht="15">
      <c r="B36" t="s">
        <v>1</v>
      </c>
      <c r="C36" s="3">
        <v>0.5</v>
      </c>
      <c r="D36" s="1">
        <f>D9*C36</f>
        <v>5940</v>
      </c>
      <c r="E36" s="2" t="s">
        <v>28</v>
      </c>
      <c r="F36" s="13">
        <v>90</v>
      </c>
      <c r="G36" s="8">
        <f>D36*F36</f>
        <v>534600</v>
      </c>
    </row>
    <row r="37" spans="2:7" ht="15">
      <c r="B37" t="s">
        <v>2</v>
      </c>
      <c r="C37" s="22">
        <v>0.5</v>
      </c>
      <c r="D37" s="23">
        <f>D9*C37</f>
        <v>5940</v>
      </c>
      <c r="E37" s="2" t="s">
        <v>29</v>
      </c>
      <c r="F37" s="13">
        <v>110</v>
      </c>
      <c r="G37" s="24">
        <f>D37*F37</f>
        <v>653400</v>
      </c>
    </row>
    <row r="38" spans="3:7" s="55" customFormat="1" ht="15">
      <c r="C38" s="106"/>
      <c r="D38" s="21"/>
      <c r="E38" s="56"/>
      <c r="F38" s="13"/>
      <c r="G38" s="107"/>
    </row>
    <row r="39" spans="2:7" ht="15.75" thickBot="1">
      <c r="B39" s="6" t="s">
        <v>15</v>
      </c>
      <c r="C39" s="14">
        <v>1</v>
      </c>
      <c r="D39" s="10">
        <f>SUM(D36:D37)</f>
        <v>11880</v>
      </c>
      <c r="E39" s="6"/>
      <c r="F39" s="9"/>
      <c r="G39" s="53">
        <f>SUM(G36:G37)</f>
        <v>1188000</v>
      </c>
    </row>
    <row r="41" spans="2:6" ht="15">
      <c r="B41" s="35" t="s">
        <v>87</v>
      </c>
      <c r="C41" s="35"/>
      <c r="D41" s="35"/>
      <c r="E41" s="35"/>
      <c r="F41" s="25"/>
    </row>
    <row r="42" ht="15.75" thickBot="1"/>
    <row r="43" spans="3:6" ht="15">
      <c r="C43" s="4"/>
      <c r="D43" s="170" t="s">
        <v>78</v>
      </c>
      <c r="E43" s="170"/>
      <c r="F43" s="170"/>
    </row>
    <row r="44" spans="3:6" ht="15.75" thickBot="1">
      <c r="C44" s="6"/>
      <c r="D44" s="7" t="s">
        <v>30</v>
      </c>
      <c r="E44" s="7" t="s">
        <v>31</v>
      </c>
      <c r="F44" s="7" t="s">
        <v>132</v>
      </c>
    </row>
    <row r="45" spans="3:6" ht="15">
      <c r="C45" s="25" t="s">
        <v>75</v>
      </c>
      <c r="D45" s="13">
        <f>G39</f>
        <v>1188000</v>
      </c>
      <c r="E45" s="13">
        <f>D45/20</f>
        <v>59400</v>
      </c>
      <c r="F45" s="13">
        <f>D45/D9</f>
        <v>100</v>
      </c>
    </row>
    <row r="46" spans="3:6" ht="15">
      <c r="C46" s="25" t="s">
        <v>77</v>
      </c>
      <c r="D46" s="46">
        <f>C21</f>
        <v>402899.9797714334</v>
      </c>
      <c r="E46" s="46">
        <f>D46/20</f>
        <v>20144.99898857167</v>
      </c>
      <c r="F46" s="46">
        <f>D46/D9</f>
        <v>33.91413971140012</v>
      </c>
    </row>
    <row r="47" spans="3:6" ht="15.75" thickBot="1">
      <c r="C47" s="26" t="s">
        <v>76</v>
      </c>
      <c r="D47" s="48">
        <f>D45-D46</f>
        <v>785100.0202285666</v>
      </c>
      <c r="E47" s="48">
        <f>E45-E46</f>
        <v>39255.00101142833</v>
      </c>
      <c r="F47" s="47">
        <f>D47/D9</f>
        <v>66.08586028859989</v>
      </c>
    </row>
  </sheetData>
  <sheetProtection password="96BD" sheet="1"/>
  <mergeCells count="4">
    <mergeCell ref="F13:G13"/>
    <mergeCell ref="B1:G1"/>
    <mergeCell ref="B2:G2"/>
    <mergeCell ref="D43:F43"/>
  </mergeCells>
  <printOptions/>
  <pageMargins left="0.7" right="0.7" top="0.75" bottom="0.75" header="0.3" footer="0.3"/>
  <pageSetup horizontalDpi="600" verticalDpi="600" orientation="portrait" scale="98" r:id="rId1"/>
</worksheet>
</file>

<file path=xl/worksheets/sheet5.xml><?xml version="1.0" encoding="utf-8"?>
<worksheet xmlns="http://schemas.openxmlformats.org/spreadsheetml/2006/main" xmlns:r="http://schemas.openxmlformats.org/officeDocument/2006/relationships">
  <sheetPr>
    <tabColor rgb="FF92D050"/>
  </sheetPr>
  <dimension ref="A1:J256"/>
  <sheetViews>
    <sheetView view="pageBreakPreview" zoomScaleNormal="115" zoomScaleSheetLayoutView="100" zoomScalePageLayoutView="0" workbookViewId="0" topLeftCell="A85">
      <selection activeCell="K11" sqref="K11"/>
    </sheetView>
  </sheetViews>
  <sheetFormatPr defaultColWidth="9.140625" defaultRowHeight="15"/>
  <cols>
    <col min="1" max="1" width="5.421875" style="115" customWidth="1"/>
    <col min="2" max="2" width="10.421875" style="115" customWidth="1"/>
    <col min="3" max="3" width="29.140625" style="55" customWidth="1"/>
    <col min="4" max="4" width="15.28125" style="55" customWidth="1"/>
    <col min="5" max="5" width="10.7109375" style="55" bestFit="1" customWidth="1"/>
    <col min="6" max="6" width="12.28125" style="55" bestFit="1" customWidth="1"/>
    <col min="7" max="7" width="11.140625" style="55" bestFit="1" customWidth="1"/>
    <col min="8" max="8" width="12.28125" style="55" bestFit="1" customWidth="1"/>
    <col min="9" max="16384" width="9.140625" style="55" customWidth="1"/>
  </cols>
  <sheetData>
    <row r="1" spans="3:10" ht="15">
      <c r="C1" s="162" t="s">
        <v>500</v>
      </c>
      <c r="D1" s="162"/>
      <c r="E1" s="162"/>
      <c r="F1" s="162"/>
      <c r="G1" s="162"/>
      <c r="H1" s="162"/>
      <c r="I1" s="37"/>
      <c r="J1" s="37"/>
    </row>
    <row r="2" spans="3:8" ht="15">
      <c r="C2" s="168" t="s">
        <v>113</v>
      </c>
      <c r="D2" s="168"/>
      <c r="E2" s="168"/>
      <c r="F2" s="168"/>
      <c r="G2" s="168"/>
      <c r="H2" s="168"/>
    </row>
    <row r="3" ht="15">
      <c r="C3" s="33" t="s">
        <v>18</v>
      </c>
    </row>
    <row r="4" spans="1:6" ht="15.75" thickBot="1">
      <c r="A4" s="6"/>
      <c r="B4" s="6"/>
      <c r="C4" s="55" t="s">
        <v>18</v>
      </c>
      <c r="F4" s="55" t="s">
        <v>18</v>
      </c>
    </row>
    <row r="5" spans="1:8" ht="15">
      <c r="A5" s="154"/>
      <c r="B5" s="154"/>
      <c r="C5" s="169"/>
      <c r="D5" s="169"/>
      <c r="E5" s="38" t="s">
        <v>32</v>
      </c>
      <c r="F5" s="38" t="s">
        <v>33</v>
      </c>
      <c r="G5" s="38" t="s">
        <v>34</v>
      </c>
      <c r="H5" s="38" t="s">
        <v>444</v>
      </c>
    </row>
    <row r="6" spans="1:8" ht="15.75" thickBot="1">
      <c r="A6" s="159" t="s">
        <v>7</v>
      </c>
      <c r="B6" s="159" t="s">
        <v>493</v>
      </c>
      <c r="C6" s="39" t="s">
        <v>81</v>
      </c>
      <c r="D6" s="39"/>
      <c r="E6" s="40" t="s">
        <v>35</v>
      </c>
      <c r="F6" s="40" t="s">
        <v>35</v>
      </c>
      <c r="G6" s="40" t="s">
        <v>35</v>
      </c>
      <c r="H6" s="40" t="s">
        <v>71</v>
      </c>
    </row>
    <row r="7" spans="3:8" ht="15">
      <c r="C7" s="170"/>
      <c r="D7" s="170"/>
      <c r="E7" s="29"/>
      <c r="F7" s="29"/>
      <c r="G7" s="29"/>
      <c r="H7" s="29"/>
    </row>
    <row r="8" spans="1:2" ht="15">
      <c r="A8" s="171" t="s">
        <v>11</v>
      </c>
      <c r="B8" s="171"/>
    </row>
    <row r="9" spans="2:4" ht="15">
      <c r="B9" s="59" t="s">
        <v>80</v>
      </c>
      <c r="D9" s="59"/>
    </row>
    <row r="10" spans="3:8" ht="15">
      <c r="C10" s="60" t="s">
        <v>36</v>
      </c>
      <c r="D10" s="60"/>
      <c r="E10" s="116">
        <v>0</v>
      </c>
      <c r="F10" s="116">
        <v>0</v>
      </c>
      <c r="G10" s="116">
        <v>0</v>
      </c>
      <c r="H10" s="30">
        <f>SUM(E10:G10)</f>
        <v>0</v>
      </c>
    </row>
    <row r="11" spans="3:8" ht="15">
      <c r="C11" s="60" t="s">
        <v>37</v>
      </c>
      <c r="D11" s="60"/>
      <c r="E11" s="116">
        <v>0</v>
      </c>
      <c r="F11" s="116">
        <v>0</v>
      </c>
      <c r="G11" s="116">
        <v>0</v>
      </c>
      <c r="H11" s="30">
        <f aca="true" t="shared" si="0" ref="H11:H28">SUM(E11:G11)</f>
        <v>0</v>
      </c>
    </row>
    <row r="12" spans="3:8" ht="15">
      <c r="C12" s="60" t="s">
        <v>38</v>
      </c>
      <c r="D12" s="60"/>
      <c r="E12" s="116">
        <v>0</v>
      </c>
      <c r="F12" s="116">
        <v>0</v>
      </c>
      <c r="G12" s="116">
        <v>0</v>
      </c>
      <c r="H12" s="30">
        <f t="shared" si="0"/>
        <v>0</v>
      </c>
    </row>
    <row r="13" spans="3:8" ht="15">
      <c r="C13" s="167" t="s">
        <v>39</v>
      </c>
      <c r="D13" s="167"/>
      <c r="E13" s="116">
        <v>0</v>
      </c>
      <c r="F13" s="116">
        <v>0</v>
      </c>
      <c r="G13" s="116">
        <v>0</v>
      </c>
      <c r="H13" s="30">
        <f t="shared" si="0"/>
        <v>0</v>
      </c>
    </row>
    <row r="14" spans="3:8" ht="15">
      <c r="C14" s="167" t="s">
        <v>40</v>
      </c>
      <c r="D14" s="167"/>
      <c r="E14" s="116">
        <v>0</v>
      </c>
      <c r="F14" s="116">
        <v>0</v>
      </c>
      <c r="G14" s="116">
        <v>0</v>
      </c>
      <c r="H14" s="30">
        <f t="shared" si="0"/>
        <v>0</v>
      </c>
    </row>
    <row r="15" spans="3:8" ht="15">
      <c r="C15" s="60" t="s">
        <v>41</v>
      </c>
      <c r="D15" s="60"/>
      <c r="E15" s="116">
        <v>0</v>
      </c>
      <c r="F15" s="116">
        <v>0</v>
      </c>
      <c r="G15" s="116">
        <v>0</v>
      </c>
      <c r="H15" s="30">
        <f t="shared" si="0"/>
        <v>0</v>
      </c>
    </row>
    <row r="16" spans="3:8" ht="15">
      <c r="C16" s="60" t="s">
        <v>42</v>
      </c>
      <c r="D16" s="60"/>
      <c r="E16" s="116">
        <v>0</v>
      </c>
      <c r="F16" s="116">
        <v>0</v>
      </c>
      <c r="G16" s="116">
        <v>0</v>
      </c>
      <c r="H16" s="30">
        <f t="shared" si="0"/>
        <v>0</v>
      </c>
    </row>
    <row r="17" spans="3:8" ht="15">
      <c r="C17" s="167" t="s">
        <v>95</v>
      </c>
      <c r="D17" s="167"/>
      <c r="E17" s="116">
        <v>0</v>
      </c>
      <c r="F17" s="116">
        <v>0</v>
      </c>
      <c r="G17" s="116">
        <v>0</v>
      </c>
      <c r="H17" s="30">
        <f t="shared" si="0"/>
        <v>0</v>
      </c>
    </row>
    <row r="18" spans="3:8" ht="15">
      <c r="C18" s="60" t="s">
        <v>43</v>
      </c>
      <c r="D18" s="60"/>
      <c r="E18" s="116">
        <v>0</v>
      </c>
      <c r="F18" s="116">
        <v>0</v>
      </c>
      <c r="G18" s="116">
        <v>0</v>
      </c>
      <c r="H18" s="30">
        <f t="shared" si="0"/>
        <v>0</v>
      </c>
    </row>
    <row r="19" spans="2:8" ht="15">
      <c r="B19" s="61" t="s">
        <v>111</v>
      </c>
      <c r="D19" s="60"/>
      <c r="E19" s="30"/>
      <c r="F19" s="30"/>
      <c r="G19" s="30"/>
      <c r="H19" s="30"/>
    </row>
    <row r="20" spans="3:8" ht="15">
      <c r="C20" s="60" t="s">
        <v>44</v>
      </c>
      <c r="D20" s="60"/>
      <c r="E20" s="116">
        <v>0</v>
      </c>
      <c r="F20" s="116">
        <v>0</v>
      </c>
      <c r="G20" s="116">
        <v>0</v>
      </c>
      <c r="H20" s="30">
        <f t="shared" si="0"/>
        <v>0</v>
      </c>
    </row>
    <row r="21" spans="2:8" ht="15">
      <c r="B21" s="61" t="s">
        <v>85</v>
      </c>
      <c r="D21" s="60"/>
      <c r="E21" s="31"/>
      <c r="F21" s="30"/>
      <c r="G21" s="30"/>
      <c r="H21" s="30"/>
    </row>
    <row r="22" spans="3:8" ht="15">
      <c r="C22" s="60" t="s">
        <v>45</v>
      </c>
      <c r="D22" s="60"/>
      <c r="E22" s="116">
        <v>0</v>
      </c>
      <c r="F22" s="116">
        <v>0</v>
      </c>
      <c r="G22" s="116">
        <v>0</v>
      </c>
      <c r="H22" s="30">
        <f t="shared" si="0"/>
        <v>0</v>
      </c>
    </row>
    <row r="23" spans="3:8" ht="15">
      <c r="C23" s="55" t="s">
        <v>46</v>
      </c>
      <c r="E23" s="116">
        <v>0</v>
      </c>
      <c r="F23" s="116">
        <v>0</v>
      </c>
      <c r="G23" s="116">
        <v>0</v>
      </c>
      <c r="H23" s="30">
        <f t="shared" si="0"/>
        <v>0</v>
      </c>
    </row>
    <row r="24" spans="3:8" ht="15">
      <c r="C24" s="55" t="s">
        <v>47</v>
      </c>
      <c r="E24" s="116">
        <v>0</v>
      </c>
      <c r="F24" s="116">
        <v>0</v>
      </c>
      <c r="G24" s="116">
        <v>0</v>
      </c>
      <c r="H24" s="30">
        <f t="shared" si="0"/>
        <v>0</v>
      </c>
    </row>
    <row r="25" spans="3:8" ht="15">
      <c r="C25" s="55" t="s">
        <v>48</v>
      </c>
      <c r="E25" s="116">
        <v>0</v>
      </c>
      <c r="F25" s="116">
        <v>0</v>
      </c>
      <c r="G25" s="116">
        <v>0</v>
      </c>
      <c r="H25" s="30">
        <f t="shared" si="0"/>
        <v>0</v>
      </c>
    </row>
    <row r="26" spans="3:8" ht="15">
      <c r="C26" s="55" t="s">
        <v>49</v>
      </c>
      <c r="E26" s="116">
        <v>0</v>
      </c>
      <c r="F26" s="116">
        <v>0</v>
      </c>
      <c r="G26" s="116">
        <v>0</v>
      </c>
      <c r="H26" s="30">
        <f t="shared" si="0"/>
        <v>0</v>
      </c>
    </row>
    <row r="27" spans="3:8" ht="15">
      <c r="C27" s="55" t="s">
        <v>86</v>
      </c>
      <c r="E27" s="116">
        <v>0</v>
      </c>
      <c r="F27" s="116">
        <v>0</v>
      </c>
      <c r="G27" s="116">
        <v>0</v>
      </c>
      <c r="H27" s="30">
        <f t="shared" si="0"/>
        <v>0</v>
      </c>
    </row>
    <row r="28" spans="3:8" ht="15">
      <c r="C28" s="55" t="s">
        <v>50</v>
      </c>
      <c r="E28" s="116">
        <v>0</v>
      </c>
      <c r="F28" s="116">
        <v>0</v>
      </c>
      <c r="G28" s="116">
        <v>0</v>
      </c>
      <c r="H28" s="30">
        <f t="shared" si="0"/>
        <v>0</v>
      </c>
    </row>
    <row r="29" spans="1:8" ht="15.75" thickBot="1">
      <c r="A29" s="156"/>
      <c r="B29" s="157" t="s">
        <v>107</v>
      </c>
      <c r="C29" s="156"/>
      <c r="D29" s="156"/>
      <c r="E29" s="158">
        <f>SUM(E10:E18,E20,E22:E28)</f>
        <v>0</v>
      </c>
      <c r="F29" s="158">
        <f>SUM(F10:F18,F20,F22:F28)</f>
        <v>0</v>
      </c>
      <c r="G29" s="158">
        <f>SUM(G10:G18,G20,G22:G28)</f>
        <v>0</v>
      </c>
      <c r="H29" s="158">
        <f>SUM(H10:H18,H20,H22:H28)</f>
        <v>0</v>
      </c>
    </row>
    <row r="30" spans="5:8" ht="15">
      <c r="E30" s="8"/>
      <c r="F30" s="8"/>
      <c r="G30" s="8"/>
      <c r="H30" s="8"/>
    </row>
    <row r="31" spans="1:8" ht="15">
      <c r="A31" s="61" t="s">
        <v>82</v>
      </c>
      <c r="D31" s="60"/>
      <c r="E31" s="8"/>
      <c r="F31" s="8"/>
      <c r="G31" s="8"/>
      <c r="H31" s="8"/>
    </row>
    <row r="32" spans="2:8" ht="15">
      <c r="B32" s="61" t="s">
        <v>84</v>
      </c>
      <c r="D32" s="60"/>
      <c r="E32" s="30"/>
      <c r="F32" s="30"/>
      <c r="G32" s="30"/>
      <c r="H32" s="30"/>
    </row>
    <row r="33" spans="3:8" ht="15">
      <c r="C33" s="60" t="s">
        <v>51</v>
      </c>
      <c r="D33" s="60"/>
      <c r="E33" s="116">
        <v>0</v>
      </c>
      <c r="F33" s="116">
        <v>0</v>
      </c>
      <c r="G33" s="116">
        <v>0</v>
      </c>
      <c r="H33" s="30">
        <f>SUM(E33:G33)</f>
        <v>0</v>
      </c>
    </row>
    <row r="34" spans="3:8" ht="15">
      <c r="C34" s="60" t="s">
        <v>52</v>
      </c>
      <c r="D34" s="60"/>
      <c r="E34" s="116">
        <v>0</v>
      </c>
      <c r="F34" s="116">
        <v>0</v>
      </c>
      <c r="G34" s="116">
        <v>0</v>
      </c>
      <c r="H34" s="30">
        <f aca="true" t="shared" si="1" ref="H34:H74">SUM(E34:G34)</f>
        <v>0</v>
      </c>
    </row>
    <row r="35" spans="3:8" ht="15">
      <c r="C35" s="60" t="s">
        <v>136</v>
      </c>
      <c r="D35" s="60"/>
      <c r="E35" s="116">
        <v>0</v>
      </c>
      <c r="F35" s="116">
        <v>0</v>
      </c>
      <c r="G35" s="116">
        <v>0</v>
      </c>
      <c r="H35" s="30">
        <f t="shared" si="1"/>
        <v>0</v>
      </c>
    </row>
    <row r="36" spans="3:8" ht="15">
      <c r="C36" s="60" t="s">
        <v>53</v>
      </c>
      <c r="D36" s="60"/>
      <c r="E36" s="116">
        <v>0</v>
      </c>
      <c r="F36" s="116">
        <v>0</v>
      </c>
      <c r="G36" s="116">
        <v>0</v>
      </c>
      <c r="H36" s="30">
        <f t="shared" si="1"/>
        <v>0</v>
      </c>
    </row>
    <row r="37" spans="3:8" ht="15">
      <c r="C37" s="60" t="s">
        <v>54</v>
      </c>
      <c r="D37" s="60"/>
      <c r="E37" s="116">
        <v>0</v>
      </c>
      <c r="F37" s="116">
        <v>0</v>
      </c>
      <c r="G37" s="116">
        <v>0</v>
      </c>
      <c r="H37" s="30">
        <f t="shared" si="1"/>
        <v>0</v>
      </c>
    </row>
    <row r="38" spans="3:8" ht="15">
      <c r="C38" s="60" t="s">
        <v>55</v>
      </c>
      <c r="D38" s="60"/>
      <c r="E38" s="116">
        <v>0</v>
      </c>
      <c r="F38" s="116">
        <v>0</v>
      </c>
      <c r="G38" s="116">
        <v>0</v>
      </c>
      <c r="H38" s="30">
        <f t="shared" si="1"/>
        <v>0</v>
      </c>
    </row>
    <row r="39" spans="3:8" ht="15">
      <c r="C39" s="60" t="s">
        <v>51</v>
      </c>
      <c r="D39" s="60"/>
      <c r="E39" s="116">
        <v>0</v>
      </c>
      <c r="F39" s="116">
        <v>0</v>
      </c>
      <c r="G39" s="116">
        <v>0</v>
      </c>
      <c r="H39" s="30">
        <f t="shared" si="1"/>
        <v>0</v>
      </c>
    </row>
    <row r="40" spans="3:8" ht="15">
      <c r="C40" s="60" t="s">
        <v>56</v>
      </c>
      <c r="D40" s="60"/>
      <c r="E40" s="116">
        <v>0</v>
      </c>
      <c r="F40" s="116">
        <v>0</v>
      </c>
      <c r="G40" s="116">
        <v>0</v>
      </c>
      <c r="H40" s="30">
        <f t="shared" si="1"/>
        <v>0</v>
      </c>
    </row>
    <row r="41" spans="2:8" ht="15">
      <c r="B41" s="61" t="s">
        <v>88</v>
      </c>
      <c r="D41" s="60"/>
      <c r="E41" s="30"/>
      <c r="F41" s="30"/>
      <c r="G41" s="30"/>
      <c r="H41" s="30"/>
    </row>
    <row r="42" spans="3:8" ht="15">
      <c r="C42" s="60" t="s">
        <v>442</v>
      </c>
      <c r="D42" s="60"/>
      <c r="E42" s="116">
        <v>0</v>
      </c>
      <c r="F42" s="116">
        <v>0</v>
      </c>
      <c r="G42" s="116">
        <v>0</v>
      </c>
      <c r="H42" s="30">
        <f t="shared" si="1"/>
        <v>0</v>
      </c>
    </row>
    <row r="43" spans="2:8" ht="15">
      <c r="B43" s="61" t="s">
        <v>89</v>
      </c>
      <c r="D43" s="60"/>
      <c r="E43" s="30"/>
      <c r="F43" s="30"/>
      <c r="G43" s="30"/>
      <c r="H43" s="30"/>
    </row>
    <row r="44" spans="3:8" ht="15">
      <c r="C44" s="60" t="s">
        <v>90</v>
      </c>
      <c r="D44" s="60"/>
      <c r="E44" s="116">
        <v>0</v>
      </c>
      <c r="F44" s="116">
        <v>0</v>
      </c>
      <c r="G44" s="116">
        <v>0</v>
      </c>
      <c r="H44" s="30">
        <f t="shared" si="1"/>
        <v>0</v>
      </c>
    </row>
    <row r="45" spans="3:8" ht="15">
      <c r="C45" s="91" t="s">
        <v>441</v>
      </c>
      <c r="D45" s="60"/>
      <c r="E45" s="30"/>
      <c r="F45" s="30"/>
      <c r="G45" s="30"/>
      <c r="H45" s="30">
        <f t="shared" si="1"/>
        <v>0</v>
      </c>
    </row>
    <row r="46" spans="3:8" ht="15">
      <c r="C46" s="60" t="s">
        <v>442</v>
      </c>
      <c r="D46" s="60"/>
      <c r="E46" s="116">
        <v>0</v>
      </c>
      <c r="F46" s="116">
        <v>0</v>
      </c>
      <c r="G46" s="116">
        <v>0</v>
      </c>
      <c r="H46" s="30">
        <f t="shared" si="1"/>
        <v>0</v>
      </c>
    </row>
    <row r="47" spans="2:8" ht="15">
      <c r="B47" s="61" t="s">
        <v>91</v>
      </c>
      <c r="D47" s="60"/>
      <c r="E47" s="30"/>
      <c r="F47" s="30"/>
      <c r="G47" s="30"/>
      <c r="H47" s="30"/>
    </row>
    <row r="48" spans="3:8" ht="15">
      <c r="C48" s="60" t="s">
        <v>51</v>
      </c>
      <c r="D48" s="60"/>
      <c r="E48" s="116">
        <v>0</v>
      </c>
      <c r="F48" s="116">
        <v>0</v>
      </c>
      <c r="G48" s="116">
        <v>0</v>
      </c>
      <c r="H48" s="30">
        <f t="shared" si="1"/>
        <v>0</v>
      </c>
    </row>
    <row r="49" spans="3:8" ht="15">
      <c r="C49" s="60" t="s">
        <v>133</v>
      </c>
      <c r="D49" s="60"/>
      <c r="E49" s="116">
        <v>0</v>
      </c>
      <c r="F49" s="116">
        <v>0</v>
      </c>
      <c r="G49" s="116">
        <v>0</v>
      </c>
      <c r="H49" s="30">
        <f t="shared" si="1"/>
        <v>0</v>
      </c>
    </row>
    <row r="50" spans="3:8" ht="15">
      <c r="C50" s="62" t="s">
        <v>95</v>
      </c>
      <c r="D50" s="60"/>
      <c r="E50" s="116">
        <v>0</v>
      </c>
      <c r="F50" s="116">
        <v>0</v>
      </c>
      <c r="G50" s="116">
        <v>0</v>
      </c>
      <c r="H50" s="30">
        <f t="shared" si="1"/>
        <v>0</v>
      </c>
    </row>
    <row r="51" spans="3:8" ht="15">
      <c r="C51" s="60" t="s">
        <v>51</v>
      </c>
      <c r="D51" s="60"/>
      <c r="E51" s="116">
        <v>0</v>
      </c>
      <c r="F51" s="116">
        <v>0</v>
      </c>
      <c r="G51" s="116">
        <v>0</v>
      </c>
      <c r="H51" s="30">
        <f t="shared" si="1"/>
        <v>0</v>
      </c>
    </row>
    <row r="52" spans="3:8" ht="15">
      <c r="C52" s="91" t="s">
        <v>441</v>
      </c>
      <c r="D52" s="60"/>
      <c r="E52" s="116">
        <v>0</v>
      </c>
      <c r="F52" s="116">
        <v>0</v>
      </c>
      <c r="G52" s="116">
        <v>0</v>
      </c>
      <c r="H52" s="30">
        <f t="shared" si="1"/>
        <v>0</v>
      </c>
    </row>
    <row r="53" spans="3:8" ht="15">
      <c r="C53" s="60" t="s">
        <v>442</v>
      </c>
      <c r="D53" s="60"/>
      <c r="E53" s="116">
        <v>0</v>
      </c>
      <c r="F53" s="116">
        <v>0</v>
      </c>
      <c r="G53" s="116">
        <v>0</v>
      </c>
      <c r="H53" s="30">
        <f t="shared" si="1"/>
        <v>0</v>
      </c>
    </row>
    <row r="54" spans="3:8" ht="15">
      <c r="C54" s="60" t="s">
        <v>90</v>
      </c>
      <c r="D54" s="60"/>
      <c r="E54" s="116">
        <v>0</v>
      </c>
      <c r="F54" s="116">
        <v>0</v>
      </c>
      <c r="G54" s="116">
        <v>0</v>
      </c>
      <c r="H54" s="30">
        <f t="shared" si="1"/>
        <v>0</v>
      </c>
    </row>
    <row r="55" spans="2:8" ht="15">
      <c r="B55" s="36" t="s">
        <v>92</v>
      </c>
      <c r="D55" s="36"/>
      <c r="E55" s="30"/>
      <c r="F55" s="30"/>
      <c r="G55" s="30"/>
      <c r="H55" s="30"/>
    </row>
    <row r="56" spans="3:8" ht="15">
      <c r="C56" s="60" t="s">
        <v>90</v>
      </c>
      <c r="D56" s="60"/>
      <c r="E56" s="116">
        <v>0</v>
      </c>
      <c r="F56" s="116">
        <v>0</v>
      </c>
      <c r="G56" s="116">
        <v>0</v>
      </c>
      <c r="H56" s="30">
        <f t="shared" si="1"/>
        <v>0</v>
      </c>
    </row>
    <row r="57" spans="3:8" ht="15">
      <c r="C57" s="60" t="s">
        <v>133</v>
      </c>
      <c r="D57" s="60"/>
      <c r="E57" s="116">
        <v>0</v>
      </c>
      <c r="F57" s="116">
        <v>0</v>
      </c>
      <c r="G57" s="116">
        <v>0</v>
      </c>
      <c r="H57" s="30">
        <f t="shared" si="1"/>
        <v>0</v>
      </c>
    </row>
    <row r="58" spans="3:8" ht="15">
      <c r="C58" s="60" t="s">
        <v>442</v>
      </c>
      <c r="D58" s="60"/>
      <c r="E58" s="116">
        <v>0</v>
      </c>
      <c r="F58" s="116">
        <v>0</v>
      </c>
      <c r="G58" s="116">
        <v>0</v>
      </c>
      <c r="H58" s="30">
        <f t="shared" si="1"/>
        <v>0</v>
      </c>
    </row>
    <row r="59" spans="3:8" ht="15">
      <c r="C59" s="91" t="s">
        <v>441</v>
      </c>
      <c r="D59" s="60"/>
      <c r="E59" s="116">
        <v>0</v>
      </c>
      <c r="F59" s="116">
        <v>0</v>
      </c>
      <c r="G59" s="116">
        <v>0</v>
      </c>
      <c r="H59" s="30">
        <f t="shared" si="1"/>
        <v>0</v>
      </c>
    </row>
    <row r="60" spans="3:8" ht="15">
      <c r="C60" s="60" t="s">
        <v>51</v>
      </c>
      <c r="D60" s="60"/>
      <c r="E60" s="116">
        <v>0</v>
      </c>
      <c r="F60" s="116">
        <v>0</v>
      </c>
      <c r="G60" s="116">
        <v>0</v>
      </c>
      <c r="H60" s="30">
        <f t="shared" si="1"/>
        <v>0</v>
      </c>
    </row>
    <row r="61" spans="2:8" ht="15">
      <c r="B61" s="61" t="s">
        <v>109</v>
      </c>
      <c r="D61" s="60"/>
      <c r="E61" s="30"/>
      <c r="F61" s="30"/>
      <c r="G61" s="30"/>
      <c r="H61" s="30"/>
    </row>
    <row r="62" spans="3:8" ht="15">
      <c r="C62" s="60" t="s">
        <v>51</v>
      </c>
      <c r="D62" s="60"/>
      <c r="E62" s="116">
        <v>0</v>
      </c>
      <c r="F62" s="116">
        <v>0</v>
      </c>
      <c r="G62" s="116">
        <v>0</v>
      </c>
      <c r="H62" s="30">
        <f t="shared" si="1"/>
        <v>0</v>
      </c>
    </row>
    <row r="63" spans="3:8" ht="15">
      <c r="C63" s="60" t="s">
        <v>442</v>
      </c>
      <c r="D63" s="60"/>
      <c r="E63" s="116">
        <v>0</v>
      </c>
      <c r="F63" s="116">
        <v>0</v>
      </c>
      <c r="G63" s="116">
        <v>0</v>
      </c>
      <c r="H63" s="30">
        <f t="shared" si="1"/>
        <v>0</v>
      </c>
    </row>
    <row r="64" spans="2:8" ht="15">
      <c r="B64" s="61" t="s">
        <v>93</v>
      </c>
      <c r="D64" s="60"/>
      <c r="E64" s="30"/>
      <c r="F64" s="30"/>
      <c r="G64" s="30"/>
      <c r="H64" s="30"/>
    </row>
    <row r="65" spans="3:8" ht="15">
      <c r="C65" s="60" t="s">
        <v>442</v>
      </c>
      <c r="D65" s="60"/>
      <c r="E65" s="116">
        <v>0</v>
      </c>
      <c r="F65" s="116">
        <v>0</v>
      </c>
      <c r="G65" s="116">
        <v>0</v>
      </c>
      <c r="H65" s="30">
        <f t="shared" si="1"/>
        <v>0</v>
      </c>
    </row>
    <row r="66" spans="3:8" ht="15">
      <c r="C66" s="60" t="s">
        <v>90</v>
      </c>
      <c r="D66" s="60"/>
      <c r="E66" s="116">
        <v>0</v>
      </c>
      <c r="F66" s="116">
        <v>0</v>
      </c>
      <c r="G66" s="116">
        <v>0</v>
      </c>
      <c r="H66" s="30">
        <f t="shared" si="1"/>
        <v>0</v>
      </c>
    </row>
    <row r="67" spans="2:8" ht="15">
      <c r="B67" s="61" t="s">
        <v>85</v>
      </c>
      <c r="D67" s="60"/>
      <c r="E67" s="31"/>
      <c r="F67" s="30"/>
      <c r="G67" s="30"/>
      <c r="H67" s="30"/>
    </row>
    <row r="68" spans="3:8" ht="15">
      <c r="C68" s="55" t="s">
        <v>45</v>
      </c>
      <c r="E68" s="116">
        <v>0</v>
      </c>
      <c r="F68" s="116">
        <v>0</v>
      </c>
      <c r="G68" s="116">
        <v>0</v>
      </c>
      <c r="H68" s="30">
        <f t="shared" si="1"/>
        <v>0</v>
      </c>
    </row>
    <row r="69" spans="3:8" ht="15">
      <c r="C69" s="55" t="s">
        <v>46</v>
      </c>
      <c r="E69" s="116">
        <v>0</v>
      </c>
      <c r="F69" s="116">
        <v>0</v>
      </c>
      <c r="G69" s="116">
        <v>0</v>
      </c>
      <c r="H69" s="30">
        <f t="shared" si="1"/>
        <v>0</v>
      </c>
    </row>
    <row r="70" spans="3:8" ht="15">
      <c r="C70" s="55" t="s">
        <v>47</v>
      </c>
      <c r="E70" s="116">
        <v>0</v>
      </c>
      <c r="F70" s="116">
        <v>0</v>
      </c>
      <c r="G70" s="116">
        <v>0</v>
      </c>
      <c r="H70" s="30">
        <f t="shared" si="1"/>
        <v>0</v>
      </c>
    </row>
    <row r="71" spans="3:8" ht="15">
      <c r="C71" s="55" t="s">
        <v>48</v>
      </c>
      <c r="E71" s="116">
        <v>0</v>
      </c>
      <c r="F71" s="116">
        <v>0</v>
      </c>
      <c r="G71" s="116">
        <v>0</v>
      </c>
      <c r="H71" s="30">
        <f t="shared" si="1"/>
        <v>0</v>
      </c>
    </row>
    <row r="72" spans="3:8" ht="15">
      <c r="C72" s="55" t="s">
        <v>49</v>
      </c>
      <c r="E72" s="116">
        <v>0</v>
      </c>
      <c r="F72" s="116">
        <v>0</v>
      </c>
      <c r="G72" s="116">
        <v>0</v>
      </c>
      <c r="H72" s="30">
        <f t="shared" si="1"/>
        <v>0</v>
      </c>
    </row>
    <row r="73" spans="3:8" ht="15">
      <c r="C73" s="166" t="s">
        <v>86</v>
      </c>
      <c r="D73" s="166"/>
      <c r="E73" s="116">
        <v>0</v>
      </c>
      <c r="F73" s="116">
        <v>0</v>
      </c>
      <c r="G73" s="116">
        <v>0</v>
      </c>
      <c r="H73" s="30">
        <f t="shared" si="1"/>
        <v>0</v>
      </c>
    </row>
    <row r="74" spans="3:8" ht="15">
      <c r="C74" s="55" t="s">
        <v>50</v>
      </c>
      <c r="E74" s="116">
        <v>0</v>
      </c>
      <c r="F74" s="116">
        <v>0</v>
      </c>
      <c r="G74" s="116">
        <v>0</v>
      </c>
      <c r="H74" s="30">
        <f t="shared" si="1"/>
        <v>0</v>
      </c>
    </row>
    <row r="75" spans="1:8" ht="15.75" thickBot="1">
      <c r="A75" s="156"/>
      <c r="B75" s="157" t="s">
        <v>102</v>
      </c>
      <c r="C75" s="156"/>
      <c r="D75" s="156"/>
      <c r="E75" s="158">
        <f>SUM(E33:E40,E42,E44:E46,E48:E54,E56:E60,E62:E63,E65:E66,E68:E74)</f>
        <v>0</v>
      </c>
      <c r="F75" s="158">
        <f>SUM(F33:F40,F42,F44:F46,F48:F54,F56:F60,F62:F63,F65:F66,F68:F74)</f>
        <v>0</v>
      </c>
      <c r="G75" s="158">
        <f>SUM(G33:G40,G42,G44:G46,G48:G54,G56:G60,G62:G63,G65:G66,G68:G74)</f>
        <v>0</v>
      </c>
      <c r="H75" s="158">
        <f>SUM(H33:H40,H42,H44:H46,H48:H54,H56:H60,H62:H63,H65:H66,H68:H74)</f>
        <v>0</v>
      </c>
    </row>
    <row r="76" spans="5:8" ht="15">
      <c r="E76" s="8"/>
      <c r="F76" s="8"/>
      <c r="G76" s="8"/>
      <c r="H76" s="8"/>
    </row>
    <row r="77" spans="1:8" ht="15">
      <c r="A77" s="61" t="s">
        <v>94</v>
      </c>
      <c r="D77" s="60"/>
      <c r="E77" s="8"/>
      <c r="F77" s="8"/>
      <c r="G77" s="8"/>
      <c r="H77" s="8"/>
    </row>
    <row r="78" spans="2:8" ht="15">
      <c r="B78" s="61" t="s">
        <v>110</v>
      </c>
      <c r="D78" s="60"/>
      <c r="E78" s="8"/>
      <c r="F78" s="8"/>
      <c r="G78" s="8"/>
      <c r="H78" s="8"/>
    </row>
    <row r="79" spans="3:8" ht="15">
      <c r="C79" s="167" t="s">
        <v>95</v>
      </c>
      <c r="D79" s="167"/>
      <c r="E79" s="116">
        <v>0</v>
      </c>
      <c r="F79" s="116">
        <v>0</v>
      </c>
      <c r="G79" s="116">
        <v>0</v>
      </c>
      <c r="H79" s="30">
        <f>SUM(E79:G79)</f>
        <v>0</v>
      </c>
    </row>
    <row r="80" spans="2:8" ht="15">
      <c r="B80" s="59" t="s">
        <v>83</v>
      </c>
      <c r="D80" s="62"/>
      <c r="E80" s="30"/>
      <c r="F80" s="30"/>
      <c r="G80" s="30"/>
      <c r="H80" s="30"/>
    </row>
    <row r="81" spans="3:8" ht="15">
      <c r="C81" s="60" t="s">
        <v>133</v>
      </c>
      <c r="D81" s="60"/>
      <c r="E81" s="116">
        <v>0</v>
      </c>
      <c r="F81" s="116">
        <v>0</v>
      </c>
      <c r="G81" s="116">
        <v>0</v>
      </c>
      <c r="H81" s="30">
        <f aca="true" t="shared" si="2" ref="H81:H121">SUM(E81:G81)</f>
        <v>0</v>
      </c>
    </row>
    <row r="82" spans="3:8" ht="15">
      <c r="C82" s="60" t="s">
        <v>441</v>
      </c>
      <c r="D82" s="60"/>
      <c r="E82" s="116">
        <v>0</v>
      </c>
      <c r="F82" s="116">
        <v>0</v>
      </c>
      <c r="G82" s="116">
        <v>0</v>
      </c>
      <c r="H82" s="30">
        <f t="shared" si="2"/>
        <v>0</v>
      </c>
    </row>
    <row r="83" spans="3:8" ht="15">
      <c r="C83" s="60" t="s">
        <v>51</v>
      </c>
      <c r="D83" s="60"/>
      <c r="E83" s="116">
        <v>0</v>
      </c>
      <c r="F83" s="116">
        <v>0</v>
      </c>
      <c r="G83" s="116">
        <v>0</v>
      </c>
      <c r="H83" s="30">
        <f t="shared" si="2"/>
        <v>0</v>
      </c>
    </row>
    <row r="84" spans="2:8" ht="15">
      <c r="B84" s="92" t="s">
        <v>84</v>
      </c>
      <c r="D84" s="60"/>
      <c r="E84" s="30"/>
      <c r="F84" s="30"/>
      <c r="G84" s="30"/>
      <c r="H84" s="30"/>
    </row>
    <row r="85" spans="3:8" ht="15">
      <c r="C85" s="60" t="s">
        <v>441</v>
      </c>
      <c r="D85" s="60"/>
      <c r="E85" s="116">
        <v>0</v>
      </c>
      <c r="F85" s="116">
        <v>0</v>
      </c>
      <c r="G85" s="116">
        <v>0</v>
      </c>
      <c r="H85" s="30">
        <f t="shared" si="2"/>
        <v>0</v>
      </c>
    </row>
    <row r="86" spans="2:8" ht="15">
      <c r="B86" s="61" t="s">
        <v>88</v>
      </c>
      <c r="D86" s="60"/>
      <c r="E86" s="30"/>
      <c r="F86" s="30"/>
      <c r="G86" s="30"/>
      <c r="H86" s="30"/>
    </row>
    <row r="87" spans="3:8" ht="15">
      <c r="C87" s="60" t="s">
        <v>134</v>
      </c>
      <c r="D87" s="60"/>
      <c r="E87" s="116">
        <v>0</v>
      </c>
      <c r="F87" s="116">
        <v>0</v>
      </c>
      <c r="G87" s="116">
        <v>0</v>
      </c>
      <c r="H87" s="30">
        <f t="shared" si="2"/>
        <v>0</v>
      </c>
    </row>
    <row r="88" spans="2:8" ht="15">
      <c r="B88" s="61" t="s">
        <v>89</v>
      </c>
      <c r="D88" s="60"/>
      <c r="E88" s="30"/>
      <c r="F88" s="30"/>
      <c r="G88" s="30"/>
      <c r="H88" s="30"/>
    </row>
    <row r="89" spans="3:8" ht="15">
      <c r="C89" s="167" t="s">
        <v>95</v>
      </c>
      <c r="D89" s="167"/>
      <c r="E89" s="116">
        <v>0</v>
      </c>
      <c r="F89" s="116">
        <v>0</v>
      </c>
      <c r="G89" s="116">
        <v>0</v>
      </c>
      <c r="H89" s="30">
        <f t="shared" si="2"/>
        <v>0</v>
      </c>
    </row>
    <row r="90" spans="3:8" ht="15">
      <c r="C90" s="167" t="s">
        <v>90</v>
      </c>
      <c r="D90" s="167"/>
      <c r="E90" s="116">
        <v>0</v>
      </c>
      <c r="F90" s="116">
        <v>0</v>
      </c>
      <c r="G90" s="116">
        <v>0</v>
      </c>
      <c r="H90" s="30">
        <f t="shared" si="2"/>
        <v>0</v>
      </c>
    </row>
    <row r="91" spans="3:8" ht="15">
      <c r="C91" s="91" t="s">
        <v>441</v>
      </c>
      <c r="D91" s="62"/>
      <c r="E91" s="116">
        <v>0</v>
      </c>
      <c r="F91" s="116">
        <v>0</v>
      </c>
      <c r="G91" s="116">
        <v>0</v>
      </c>
      <c r="H91" s="30">
        <f t="shared" si="2"/>
        <v>0</v>
      </c>
    </row>
    <row r="92" spans="3:8" ht="15">
      <c r="C92" s="60" t="s">
        <v>443</v>
      </c>
      <c r="D92" s="62"/>
      <c r="E92" s="116">
        <v>0</v>
      </c>
      <c r="F92" s="116">
        <v>0</v>
      </c>
      <c r="G92" s="116">
        <v>0</v>
      </c>
      <c r="H92" s="30">
        <f t="shared" si="2"/>
        <v>0</v>
      </c>
    </row>
    <row r="93" spans="2:8" ht="15">
      <c r="B93" s="61" t="s">
        <v>91</v>
      </c>
      <c r="D93" s="60"/>
      <c r="E93" s="30"/>
      <c r="F93" s="30"/>
      <c r="G93" s="30"/>
      <c r="H93" s="30"/>
    </row>
    <row r="94" spans="3:8" ht="15">
      <c r="C94" s="60" t="s">
        <v>58</v>
      </c>
      <c r="D94" s="60"/>
      <c r="E94" s="116">
        <v>0</v>
      </c>
      <c r="F94" s="116">
        <v>0</v>
      </c>
      <c r="G94" s="116">
        <v>0</v>
      </c>
      <c r="H94" s="30">
        <f t="shared" si="2"/>
        <v>0</v>
      </c>
    </row>
    <row r="95" spans="3:8" ht="15">
      <c r="C95" s="167" t="s">
        <v>90</v>
      </c>
      <c r="D95" s="167"/>
      <c r="E95" s="116">
        <v>0</v>
      </c>
      <c r="F95" s="116">
        <v>0</v>
      </c>
      <c r="G95" s="116">
        <v>0</v>
      </c>
      <c r="H95" s="30">
        <f t="shared" si="2"/>
        <v>0</v>
      </c>
    </row>
    <row r="96" spans="3:8" ht="15">
      <c r="C96" s="60" t="s">
        <v>51</v>
      </c>
      <c r="D96" s="60"/>
      <c r="E96" s="116">
        <v>0</v>
      </c>
      <c r="F96" s="116">
        <v>0</v>
      </c>
      <c r="G96" s="116">
        <v>0</v>
      </c>
      <c r="H96" s="30">
        <f t="shared" si="2"/>
        <v>0</v>
      </c>
    </row>
    <row r="97" spans="3:8" ht="15">
      <c r="C97" s="167" t="s">
        <v>95</v>
      </c>
      <c r="D97" s="167"/>
      <c r="E97" s="116">
        <v>0</v>
      </c>
      <c r="F97" s="116">
        <v>0</v>
      </c>
      <c r="G97" s="116">
        <v>0</v>
      </c>
      <c r="H97" s="30">
        <f t="shared" si="2"/>
        <v>0</v>
      </c>
    </row>
    <row r="98" spans="3:8" ht="15">
      <c r="C98" s="91" t="s">
        <v>441</v>
      </c>
      <c r="D98" s="62"/>
      <c r="E98" s="116">
        <v>0</v>
      </c>
      <c r="F98" s="116">
        <v>0</v>
      </c>
      <c r="G98" s="116">
        <v>0</v>
      </c>
      <c r="H98" s="30">
        <f t="shared" si="2"/>
        <v>0</v>
      </c>
    </row>
    <row r="99" spans="3:8" ht="15">
      <c r="C99" s="60" t="s">
        <v>443</v>
      </c>
      <c r="D99" s="62"/>
      <c r="E99" s="116">
        <v>0</v>
      </c>
      <c r="F99" s="116">
        <v>0</v>
      </c>
      <c r="G99" s="116">
        <v>0</v>
      </c>
      <c r="H99" s="30">
        <f t="shared" si="2"/>
        <v>0</v>
      </c>
    </row>
    <row r="100" spans="3:8" ht="15">
      <c r="C100" s="60" t="s">
        <v>51</v>
      </c>
      <c r="D100" s="60"/>
      <c r="E100" s="116">
        <v>0</v>
      </c>
      <c r="F100" s="116">
        <v>0</v>
      </c>
      <c r="G100" s="116">
        <v>0</v>
      </c>
      <c r="H100" s="30">
        <f t="shared" si="2"/>
        <v>0</v>
      </c>
    </row>
    <row r="101" spans="2:8" ht="15">
      <c r="B101" s="36" t="s">
        <v>92</v>
      </c>
      <c r="D101" s="36"/>
      <c r="E101" s="30"/>
      <c r="F101" s="30"/>
      <c r="G101" s="30"/>
      <c r="H101" s="30"/>
    </row>
    <row r="102" spans="3:8" ht="15">
      <c r="C102" s="60" t="s">
        <v>70</v>
      </c>
      <c r="D102" s="60"/>
      <c r="E102" s="116">
        <v>0</v>
      </c>
      <c r="F102" s="116">
        <v>0</v>
      </c>
      <c r="G102" s="116">
        <v>0</v>
      </c>
      <c r="H102" s="30">
        <f t="shared" si="2"/>
        <v>0</v>
      </c>
    </row>
    <row r="103" spans="3:8" ht="15">
      <c r="C103" s="167" t="s">
        <v>90</v>
      </c>
      <c r="D103" s="167"/>
      <c r="E103" s="116">
        <v>0</v>
      </c>
      <c r="F103" s="116">
        <v>0</v>
      </c>
      <c r="G103" s="116">
        <v>0</v>
      </c>
      <c r="H103" s="30">
        <f t="shared" si="2"/>
        <v>0</v>
      </c>
    </row>
    <row r="104" spans="3:8" ht="15">
      <c r="C104" s="91" t="s">
        <v>441</v>
      </c>
      <c r="D104" s="62"/>
      <c r="E104" s="116">
        <v>0</v>
      </c>
      <c r="F104" s="116">
        <v>0</v>
      </c>
      <c r="G104" s="116">
        <v>0</v>
      </c>
      <c r="H104" s="30">
        <f t="shared" si="2"/>
        <v>0</v>
      </c>
    </row>
    <row r="105" spans="3:8" ht="15">
      <c r="C105" s="60" t="s">
        <v>443</v>
      </c>
      <c r="D105" s="62"/>
      <c r="E105" s="116">
        <v>0</v>
      </c>
      <c r="F105" s="116">
        <v>0</v>
      </c>
      <c r="G105" s="116">
        <v>0</v>
      </c>
      <c r="H105" s="30">
        <f t="shared" si="2"/>
        <v>0</v>
      </c>
    </row>
    <row r="106" spans="3:8" ht="15">
      <c r="C106" s="60" t="s">
        <v>51</v>
      </c>
      <c r="D106" s="60"/>
      <c r="E106" s="116">
        <v>0</v>
      </c>
      <c r="F106" s="116">
        <v>0</v>
      </c>
      <c r="G106" s="116">
        <v>0</v>
      </c>
      <c r="H106" s="30">
        <f t="shared" si="2"/>
        <v>0</v>
      </c>
    </row>
    <row r="107" spans="2:8" ht="15">
      <c r="B107" s="61" t="s">
        <v>109</v>
      </c>
      <c r="D107" s="60"/>
      <c r="E107" s="30"/>
      <c r="F107" s="30"/>
      <c r="G107" s="30"/>
      <c r="H107" s="30"/>
    </row>
    <row r="108" spans="3:8" ht="15">
      <c r="C108" s="60" t="s">
        <v>51</v>
      </c>
      <c r="D108" s="60"/>
      <c r="E108" s="116">
        <v>0</v>
      </c>
      <c r="F108" s="116">
        <v>0</v>
      </c>
      <c r="G108" s="116">
        <v>0</v>
      </c>
      <c r="H108" s="30">
        <f t="shared" si="2"/>
        <v>0</v>
      </c>
    </row>
    <row r="109" spans="3:8" ht="15">
      <c r="C109" s="91" t="s">
        <v>441</v>
      </c>
      <c r="D109" s="60"/>
      <c r="E109" s="116">
        <v>0</v>
      </c>
      <c r="F109" s="116">
        <v>0</v>
      </c>
      <c r="G109" s="116">
        <v>0</v>
      </c>
      <c r="H109" s="30">
        <f t="shared" si="2"/>
        <v>0</v>
      </c>
    </row>
    <row r="110" spans="3:8" ht="15">
      <c r="C110" s="60" t="s">
        <v>443</v>
      </c>
      <c r="D110" s="60"/>
      <c r="E110" s="116">
        <v>0</v>
      </c>
      <c r="F110" s="116">
        <v>0</v>
      </c>
      <c r="G110" s="116">
        <v>0</v>
      </c>
      <c r="H110" s="30">
        <f t="shared" si="2"/>
        <v>0</v>
      </c>
    </row>
    <row r="111" spans="2:8" ht="15">
      <c r="B111" s="61" t="s">
        <v>93</v>
      </c>
      <c r="D111" s="60"/>
      <c r="E111" s="30"/>
      <c r="F111" s="30"/>
      <c r="G111" s="30"/>
      <c r="H111" s="30">
        <f t="shared" si="2"/>
        <v>0</v>
      </c>
    </row>
    <row r="112" spans="3:8" ht="15">
      <c r="C112" s="167" t="s">
        <v>90</v>
      </c>
      <c r="D112" s="167"/>
      <c r="E112" s="116">
        <v>0</v>
      </c>
      <c r="F112" s="116">
        <v>0</v>
      </c>
      <c r="G112" s="116">
        <v>0</v>
      </c>
      <c r="H112" s="30">
        <f t="shared" si="2"/>
        <v>0</v>
      </c>
    </row>
    <row r="113" spans="3:8" ht="15">
      <c r="C113" s="60" t="s">
        <v>60</v>
      </c>
      <c r="D113" s="60"/>
      <c r="E113" s="116">
        <v>0</v>
      </c>
      <c r="F113" s="116">
        <v>0</v>
      </c>
      <c r="G113" s="116">
        <v>0</v>
      </c>
      <c r="H113" s="30">
        <f t="shared" si="2"/>
        <v>0</v>
      </c>
    </row>
    <row r="114" spans="2:8" ht="15">
      <c r="B114" s="59" t="s">
        <v>85</v>
      </c>
      <c r="C114" s="59"/>
      <c r="E114" s="30"/>
      <c r="F114" s="30"/>
      <c r="G114" s="30"/>
      <c r="H114" s="30"/>
    </row>
    <row r="115" spans="3:8" ht="15">
      <c r="C115" s="55" t="s">
        <v>45</v>
      </c>
      <c r="E115" s="116">
        <v>0</v>
      </c>
      <c r="F115" s="116">
        <v>0</v>
      </c>
      <c r="G115" s="116">
        <v>0</v>
      </c>
      <c r="H115" s="30">
        <f t="shared" si="2"/>
        <v>0</v>
      </c>
    </row>
    <row r="116" spans="3:8" ht="15">
      <c r="C116" s="55" t="s">
        <v>46</v>
      </c>
      <c r="E116" s="116">
        <v>0</v>
      </c>
      <c r="F116" s="116">
        <v>0</v>
      </c>
      <c r="G116" s="116">
        <v>0</v>
      </c>
      <c r="H116" s="30">
        <f t="shared" si="2"/>
        <v>0</v>
      </c>
    </row>
    <row r="117" spans="3:8" ht="15">
      <c r="C117" s="55" t="s">
        <v>47</v>
      </c>
      <c r="E117" s="116">
        <v>0</v>
      </c>
      <c r="F117" s="116">
        <v>0</v>
      </c>
      <c r="G117" s="116">
        <v>0</v>
      </c>
      <c r="H117" s="30">
        <f t="shared" si="2"/>
        <v>0</v>
      </c>
    </row>
    <row r="118" spans="3:8" ht="15">
      <c r="C118" s="55" t="s">
        <v>48</v>
      </c>
      <c r="E118" s="116">
        <v>0</v>
      </c>
      <c r="F118" s="116">
        <v>0</v>
      </c>
      <c r="G118" s="116">
        <v>0</v>
      </c>
      <c r="H118" s="30">
        <f t="shared" si="2"/>
        <v>0</v>
      </c>
    </row>
    <row r="119" spans="3:8" ht="15">
      <c r="C119" s="55" t="s">
        <v>49</v>
      </c>
      <c r="E119" s="116">
        <v>0</v>
      </c>
      <c r="F119" s="116">
        <v>0</v>
      </c>
      <c r="G119" s="116">
        <v>0</v>
      </c>
      <c r="H119" s="30">
        <f t="shared" si="2"/>
        <v>0</v>
      </c>
    </row>
    <row r="120" spans="3:8" ht="15">
      <c r="C120" s="166" t="s">
        <v>86</v>
      </c>
      <c r="D120" s="166"/>
      <c r="E120" s="116">
        <v>0</v>
      </c>
      <c r="F120" s="116">
        <v>0</v>
      </c>
      <c r="G120" s="116">
        <v>0</v>
      </c>
      <c r="H120" s="30">
        <f t="shared" si="2"/>
        <v>0</v>
      </c>
    </row>
    <row r="121" spans="3:8" ht="15">
      <c r="C121" s="55" t="s">
        <v>50</v>
      </c>
      <c r="E121" s="116">
        <v>0</v>
      </c>
      <c r="F121" s="116">
        <v>0</v>
      </c>
      <c r="G121" s="116">
        <v>0</v>
      </c>
      <c r="H121" s="30">
        <f t="shared" si="2"/>
        <v>0</v>
      </c>
    </row>
    <row r="122" spans="1:8" ht="15.75" thickBot="1">
      <c r="A122" s="156"/>
      <c r="B122" s="157" t="s">
        <v>103</v>
      </c>
      <c r="C122" s="156"/>
      <c r="D122" s="156"/>
      <c r="E122" s="158">
        <f>SUM(E79,E81:E83,E85,E87,E89:E92,E94:E100,E102:E106,E108:E110,E112:E121)</f>
        <v>0</v>
      </c>
      <c r="F122" s="158">
        <f>SUM(F79,F81:F83,F85,F87,F89:F92,F94:F100,F102:F106,F108:F110,F112:F121)</f>
        <v>0</v>
      </c>
      <c r="G122" s="158">
        <f>SUM(G79,G81:G83,G85,G87,G89:G92,G94:G100,G102:G106,G108:G110,G112:G121)</f>
        <v>0</v>
      </c>
      <c r="H122" s="158">
        <f>SUM(H79,H81:H83,H85,H87,H89:H92,H94:H100,H102:H106,H108:H110,H112:H121)</f>
        <v>0</v>
      </c>
    </row>
    <row r="123" spans="5:8" ht="15">
      <c r="E123" s="8"/>
      <c r="F123" s="8"/>
      <c r="G123" s="8"/>
      <c r="H123" s="8"/>
    </row>
    <row r="124" spans="1:8" ht="15">
      <c r="A124" s="61" t="s">
        <v>96</v>
      </c>
      <c r="D124" s="60"/>
      <c r="E124" s="8"/>
      <c r="F124" s="8"/>
      <c r="G124" s="8"/>
      <c r="H124" s="8"/>
    </row>
    <row r="125" spans="2:8" ht="15">
      <c r="B125" s="61" t="s">
        <v>110</v>
      </c>
      <c r="D125" s="60"/>
      <c r="E125" s="8"/>
      <c r="F125" s="8"/>
      <c r="G125" s="8"/>
      <c r="H125" s="8"/>
    </row>
    <row r="126" spans="3:8" ht="15">
      <c r="C126" s="167" t="s">
        <v>95</v>
      </c>
      <c r="D126" s="167"/>
      <c r="E126" s="116">
        <v>0</v>
      </c>
      <c r="F126" s="116">
        <v>0</v>
      </c>
      <c r="G126" s="116">
        <v>0</v>
      </c>
      <c r="H126" s="30">
        <f>SUM(E126:G126)</f>
        <v>0</v>
      </c>
    </row>
    <row r="127" spans="2:8" ht="15">
      <c r="B127" s="59" t="s">
        <v>83</v>
      </c>
      <c r="D127" s="62"/>
      <c r="E127" s="30"/>
      <c r="F127" s="30"/>
      <c r="G127" s="30"/>
      <c r="H127" s="30">
        <f aca="true" t="shared" si="3" ref="H127:H165">SUM(E127:G127)</f>
        <v>0</v>
      </c>
    </row>
    <row r="128" spans="3:8" ht="15">
      <c r="C128" s="60" t="s">
        <v>51</v>
      </c>
      <c r="D128" s="60"/>
      <c r="E128" s="116">
        <v>0</v>
      </c>
      <c r="F128" s="116">
        <v>0</v>
      </c>
      <c r="G128" s="116">
        <v>0</v>
      </c>
      <c r="H128" s="30">
        <f t="shared" si="3"/>
        <v>0</v>
      </c>
    </row>
    <row r="129" spans="3:8" ht="15">
      <c r="C129" s="60" t="s">
        <v>133</v>
      </c>
      <c r="D129" s="60"/>
      <c r="E129" s="116">
        <v>0</v>
      </c>
      <c r="F129" s="116">
        <v>0</v>
      </c>
      <c r="G129" s="116">
        <v>0</v>
      </c>
      <c r="H129" s="30">
        <f t="shared" si="3"/>
        <v>0</v>
      </c>
    </row>
    <row r="130" spans="2:8" ht="15">
      <c r="B130" s="92" t="s">
        <v>84</v>
      </c>
      <c r="D130" s="60"/>
      <c r="E130" s="30"/>
      <c r="F130" s="30"/>
      <c r="G130" s="30"/>
      <c r="H130" s="30"/>
    </row>
    <row r="131" spans="3:8" ht="15">
      <c r="C131" s="93" t="s">
        <v>441</v>
      </c>
      <c r="D131" s="60"/>
      <c r="E131" s="116">
        <v>0</v>
      </c>
      <c r="F131" s="116">
        <v>0</v>
      </c>
      <c r="G131" s="116">
        <v>0</v>
      </c>
      <c r="H131" s="30">
        <f t="shared" si="3"/>
        <v>0</v>
      </c>
    </row>
    <row r="132" spans="2:8" ht="15">
      <c r="B132" s="61" t="s">
        <v>88</v>
      </c>
      <c r="D132" s="60"/>
      <c r="E132" s="30"/>
      <c r="F132" s="30"/>
      <c r="G132" s="30"/>
      <c r="H132" s="30"/>
    </row>
    <row r="133" spans="3:8" ht="15">
      <c r="C133" s="91" t="s">
        <v>441</v>
      </c>
      <c r="D133" s="60"/>
      <c r="E133" s="116">
        <v>0</v>
      </c>
      <c r="F133" s="116">
        <v>0</v>
      </c>
      <c r="G133" s="116">
        <v>0</v>
      </c>
      <c r="H133" s="30">
        <f t="shared" si="3"/>
        <v>0</v>
      </c>
    </row>
    <row r="134" spans="3:8" ht="15">
      <c r="C134" s="60" t="s">
        <v>134</v>
      </c>
      <c r="D134" s="60"/>
      <c r="E134" s="116">
        <v>0</v>
      </c>
      <c r="F134" s="116">
        <v>0</v>
      </c>
      <c r="G134" s="116">
        <v>0</v>
      </c>
      <c r="H134" s="30">
        <f t="shared" si="3"/>
        <v>0</v>
      </c>
    </row>
    <row r="135" spans="2:8" ht="15">
      <c r="B135" s="61" t="s">
        <v>89</v>
      </c>
      <c r="D135" s="60"/>
      <c r="E135" s="30"/>
      <c r="F135" s="30"/>
      <c r="G135" s="30"/>
      <c r="H135" s="30"/>
    </row>
    <row r="136" spans="3:8" ht="15">
      <c r="C136" s="167" t="s">
        <v>95</v>
      </c>
      <c r="D136" s="167"/>
      <c r="E136" s="116">
        <v>0</v>
      </c>
      <c r="F136" s="116">
        <v>0</v>
      </c>
      <c r="G136" s="116">
        <v>0</v>
      </c>
      <c r="H136" s="30">
        <f t="shared" si="3"/>
        <v>0</v>
      </c>
    </row>
    <row r="137" spans="3:8" ht="15">
      <c r="C137" s="167" t="s">
        <v>90</v>
      </c>
      <c r="D137" s="167"/>
      <c r="E137" s="116">
        <v>0</v>
      </c>
      <c r="F137" s="116">
        <v>0</v>
      </c>
      <c r="G137" s="116">
        <v>0</v>
      </c>
      <c r="H137" s="30">
        <f t="shared" si="3"/>
        <v>0</v>
      </c>
    </row>
    <row r="138" spans="3:8" ht="15">
      <c r="C138" s="91" t="s">
        <v>441</v>
      </c>
      <c r="D138" s="62"/>
      <c r="E138" s="116">
        <v>0</v>
      </c>
      <c r="F138" s="116">
        <v>0</v>
      </c>
      <c r="G138" s="116">
        <v>0</v>
      </c>
      <c r="H138" s="30">
        <f t="shared" si="3"/>
        <v>0</v>
      </c>
    </row>
    <row r="139" spans="3:8" ht="15">
      <c r="C139" s="60" t="s">
        <v>443</v>
      </c>
      <c r="D139" s="62"/>
      <c r="E139" s="116">
        <v>0</v>
      </c>
      <c r="F139" s="116">
        <v>0</v>
      </c>
      <c r="G139" s="116">
        <v>0</v>
      </c>
      <c r="H139" s="30">
        <f t="shared" si="3"/>
        <v>0</v>
      </c>
    </row>
    <row r="140" spans="2:8" ht="15">
      <c r="B140" s="61" t="s">
        <v>91</v>
      </c>
      <c r="D140" s="60"/>
      <c r="E140" s="30"/>
      <c r="F140" s="30"/>
      <c r="G140" s="30"/>
      <c r="H140" s="30"/>
    </row>
    <row r="141" spans="3:8" ht="15">
      <c r="C141" s="60" t="s">
        <v>133</v>
      </c>
      <c r="D141" s="60"/>
      <c r="E141" s="116">
        <v>0</v>
      </c>
      <c r="F141" s="116">
        <v>0</v>
      </c>
      <c r="G141" s="116">
        <v>0</v>
      </c>
      <c r="H141" s="30">
        <f t="shared" si="3"/>
        <v>0</v>
      </c>
    </row>
    <row r="142" spans="3:8" ht="15">
      <c r="C142" s="167" t="s">
        <v>90</v>
      </c>
      <c r="D142" s="167"/>
      <c r="E142" s="116">
        <v>0</v>
      </c>
      <c r="F142" s="116">
        <v>0</v>
      </c>
      <c r="G142" s="116">
        <v>0</v>
      </c>
      <c r="H142" s="30">
        <f t="shared" si="3"/>
        <v>0</v>
      </c>
    </row>
    <row r="143" spans="3:8" ht="15">
      <c r="C143" s="167" t="s">
        <v>135</v>
      </c>
      <c r="D143" s="167"/>
      <c r="E143" s="116">
        <v>0</v>
      </c>
      <c r="F143" s="116">
        <v>0</v>
      </c>
      <c r="G143" s="116">
        <v>0</v>
      </c>
      <c r="H143" s="30">
        <f t="shared" si="3"/>
        <v>0</v>
      </c>
    </row>
    <row r="144" spans="3:8" ht="15">
      <c r="C144" s="91" t="s">
        <v>441</v>
      </c>
      <c r="D144" s="62"/>
      <c r="E144" s="116">
        <v>0</v>
      </c>
      <c r="F144" s="116">
        <v>0</v>
      </c>
      <c r="G144" s="116">
        <v>0</v>
      </c>
      <c r="H144" s="30">
        <f>SUM(E144:G144)</f>
        <v>0</v>
      </c>
    </row>
    <row r="145" spans="3:8" ht="15">
      <c r="C145" s="60" t="s">
        <v>443</v>
      </c>
      <c r="D145" s="62"/>
      <c r="E145" s="116">
        <v>0</v>
      </c>
      <c r="F145" s="116">
        <v>0</v>
      </c>
      <c r="G145" s="116">
        <v>0</v>
      </c>
      <c r="H145" s="30">
        <f t="shared" si="3"/>
        <v>0</v>
      </c>
    </row>
    <row r="146" spans="3:8" ht="15">
      <c r="C146" s="167" t="s">
        <v>95</v>
      </c>
      <c r="D146" s="167"/>
      <c r="E146" s="116">
        <v>0</v>
      </c>
      <c r="F146" s="116">
        <v>0</v>
      </c>
      <c r="G146" s="116">
        <v>0</v>
      </c>
      <c r="H146" s="30">
        <f t="shared" si="3"/>
        <v>0</v>
      </c>
    </row>
    <row r="147" spans="2:8" ht="15">
      <c r="B147" s="36" t="s">
        <v>92</v>
      </c>
      <c r="D147" s="36"/>
      <c r="E147" s="30"/>
      <c r="F147" s="30"/>
      <c r="G147" s="30"/>
      <c r="H147" s="30"/>
    </row>
    <row r="148" spans="3:8" ht="15">
      <c r="C148" s="167" t="s">
        <v>90</v>
      </c>
      <c r="D148" s="167"/>
      <c r="E148" s="116">
        <v>0</v>
      </c>
      <c r="F148" s="116">
        <v>0</v>
      </c>
      <c r="G148" s="116">
        <v>0</v>
      </c>
      <c r="H148" s="30">
        <f t="shared" si="3"/>
        <v>0</v>
      </c>
    </row>
    <row r="149" spans="3:8" ht="15">
      <c r="C149" s="91" t="s">
        <v>441</v>
      </c>
      <c r="D149" s="62"/>
      <c r="E149" s="116">
        <v>0</v>
      </c>
      <c r="F149" s="116">
        <v>0</v>
      </c>
      <c r="G149" s="116">
        <v>0</v>
      </c>
      <c r="H149" s="30">
        <f t="shared" si="3"/>
        <v>0</v>
      </c>
    </row>
    <row r="150" spans="3:8" ht="15">
      <c r="C150" s="60" t="s">
        <v>443</v>
      </c>
      <c r="D150" s="62"/>
      <c r="E150" s="116">
        <v>0</v>
      </c>
      <c r="F150" s="116">
        <v>0</v>
      </c>
      <c r="G150" s="116">
        <v>0</v>
      </c>
      <c r="H150" s="30">
        <f t="shared" si="3"/>
        <v>0</v>
      </c>
    </row>
    <row r="151" spans="3:8" ht="15">
      <c r="C151" s="167" t="s">
        <v>51</v>
      </c>
      <c r="D151" s="167"/>
      <c r="E151" s="116">
        <v>0</v>
      </c>
      <c r="F151" s="116">
        <v>0</v>
      </c>
      <c r="G151" s="116">
        <v>0</v>
      </c>
      <c r="H151" s="30">
        <f t="shared" si="3"/>
        <v>0</v>
      </c>
    </row>
    <row r="152" spans="2:8" ht="15">
      <c r="B152" s="59" t="s">
        <v>109</v>
      </c>
      <c r="D152" s="62"/>
      <c r="E152" s="30"/>
      <c r="F152" s="30"/>
      <c r="G152" s="30"/>
      <c r="H152" s="30"/>
    </row>
    <row r="153" spans="3:8" ht="15">
      <c r="C153" s="167" t="s">
        <v>51</v>
      </c>
      <c r="D153" s="167"/>
      <c r="E153" s="116">
        <v>0</v>
      </c>
      <c r="F153" s="116">
        <v>0</v>
      </c>
      <c r="G153" s="116">
        <v>0</v>
      </c>
      <c r="H153" s="30">
        <f t="shared" si="3"/>
        <v>0</v>
      </c>
    </row>
    <row r="154" spans="3:8" ht="15">
      <c r="C154" s="91" t="s">
        <v>441</v>
      </c>
      <c r="D154" s="62"/>
      <c r="E154" s="116">
        <v>0</v>
      </c>
      <c r="F154" s="116">
        <v>0</v>
      </c>
      <c r="G154" s="116">
        <v>0</v>
      </c>
      <c r="H154" s="30">
        <f t="shared" si="3"/>
        <v>0</v>
      </c>
    </row>
    <row r="155" spans="3:8" ht="15">
      <c r="C155" s="60" t="s">
        <v>443</v>
      </c>
      <c r="D155" s="62"/>
      <c r="E155" s="116">
        <v>0</v>
      </c>
      <c r="F155" s="116">
        <v>0</v>
      </c>
      <c r="G155" s="116">
        <v>0</v>
      </c>
      <c r="H155" s="30">
        <f t="shared" si="3"/>
        <v>0</v>
      </c>
    </row>
    <row r="156" spans="2:8" ht="15">
      <c r="B156" s="61" t="s">
        <v>93</v>
      </c>
      <c r="D156" s="60"/>
      <c r="E156" s="30"/>
      <c r="F156" s="30"/>
      <c r="G156" s="30"/>
      <c r="H156" s="30"/>
    </row>
    <row r="157" spans="3:8" ht="15">
      <c r="C157" s="167" t="s">
        <v>90</v>
      </c>
      <c r="D157" s="167"/>
      <c r="E157" s="116">
        <v>0</v>
      </c>
      <c r="F157" s="116">
        <v>0</v>
      </c>
      <c r="G157" s="116">
        <v>0</v>
      </c>
      <c r="H157" s="30">
        <f t="shared" si="3"/>
        <v>0</v>
      </c>
    </row>
    <row r="158" spans="3:8" ht="15">
      <c r="C158" s="60" t="s">
        <v>133</v>
      </c>
      <c r="D158" s="60"/>
      <c r="E158" s="116">
        <v>0</v>
      </c>
      <c r="F158" s="116">
        <v>0</v>
      </c>
      <c r="G158" s="116">
        <v>0</v>
      </c>
      <c r="H158" s="30">
        <f t="shared" si="3"/>
        <v>0</v>
      </c>
    </row>
    <row r="159" spans="2:8" ht="15">
      <c r="B159" s="59" t="s">
        <v>85</v>
      </c>
      <c r="C159" s="59"/>
      <c r="E159" s="30"/>
      <c r="F159" s="30"/>
      <c r="G159" s="30"/>
      <c r="H159" s="30"/>
    </row>
    <row r="160" spans="3:8" ht="15">
      <c r="C160" s="55" t="s">
        <v>45</v>
      </c>
      <c r="E160" s="116">
        <v>0</v>
      </c>
      <c r="F160" s="116">
        <v>0</v>
      </c>
      <c r="G160" s="116">
        <v>0</v>
      </c>
      <c r="H160" s="30">
        <f t="shared" si="3"/>
        <v>0</v>
      </c>
    </row>
    <row r="161" spans="3:8" ht="15">
      <c r="C161" s="55" t="s">
        <v>46</v>
      </c>
      <c r="E161" s="116">
        <v>0</v>
      </c>
      <c r="F161" s="116">
        <v>0</v>
      </c>
      <c r="G161" s="116">
        <v>0</v>
      </c>
      <c r="H161" s="30">
        <f t="shared" si="3"/>
        <v>0</v>
      </c>
    </row>
    <row r="162" spans="3:8" ht="15">
      <c r="C162" s="55" t="s">
        <v>47</v>
      </c>
      <c r="E162" s="116">
        <v>0</v>
      </c>
      <c r="F162" s="116">
        <v>0</v>
      </c>
      <c r="G162" s="116">
        <v>0</v>
      </c>
      <c r="H162" s="30">
        <f t="shared" si="3"/>
        <v>0</v>
      </c>
    </row>
    <row r="163" spans="3:8" ht="15">
      <c r="C163" s="55" t="s">
        <v>48</v>
      </c>
      <c r="E163" s="116">
        <v>0</v>
      </c>
      <c r="F163" s="116">
        <v>0</v>
      </c>
      <c r="G163" s="116">
        <v>0</v>
      </c>
      <c r="H163" s="30">
        <f t="shared" si="3"/>
        <v>0</v>
      </c>
    </row>
    <row r="164" spans="3:8" ht="15">
      <c r="C164" s="55" t="s">
        <v>49</v>
      </c>
      <c r="E164" s="116">
        <v>0</v>
      </c>
      <c r="F164" s="116">
        <v>0</v>
      </c>
      <c r="G164" s="116">
        <v>0</v>
      </c>
      <c r="H164" s="30">
        <f t="shared" si="3"/>
        <v>0</v>
      </c>
    </row>
    <row r="165" spans="3:8" ht="15">
      <c r="C165" s="166" t="s">
        <v>86</v>
      </c>
      <c r="D165" s="166"/>
      <c r="E165" s="116">
        <v>0</v>
      </c>
      <c r="F165" s="116">
        <v>0</v>
      </c>
      <c r="G165" s="116">
        <v>0</v>
      </c>
      <c r="H165" s="30">
        <f t="shared" si="3"/>
        <v>0</v>
      </c>
    </row>
    <row r="166" spans="3:8" ht="15">
      <c r="C166" s="55" t="s">
        <v>50</v>
      </c>
      <c r="E166" s="116">
        <v>0</v>
      </c>
      <c r="F166" s="116">
        <v>0</v>
      </c>
      <c r="G166" s="116">
        <v>0</v>
      </c>
      <c r="H166" s="30">
        <f>SUM(E166:G166)</f>
        <v>0</v>
      </c>
    </row>
    <row r="167" spans="1:8" ht="15.75" thickBot="1">
      <c r="A167" s="156"/>
      <c r="B167" s="157" t="s">
        <v>104</v>
      </c>
      <c r="C167" s="156"/>
      <c r="D167" s="156"/>
      <c r="E167" s="158">
        <f>SUM(E126,E128:E129,E131,E133:E134,E136:E139,E141:E146,E148:E151,E153:E155,E157:E158,E160:E166)</f>
        <v>0</v>
      </c>
      <c r="F167" s="158">
        <f>SUM(F126,F128:F129,F131,F133:F134,F136:F139,F141:F146,F148:F151,F153:F155,F157:F158,F160:F166)</f>
        <v>0</v>
      </c>
      <c r="G167" s="158">
        <f>SUM(G126,G128:G129,G131,G133:G134,G136:G139,G141:G146,G148:G151,G153:G155,G157:G158,G160:G166)</f>
        <v>0</v>
      </c>
      <c r="H167" s="158">
        <f>SUM(H126,H128:H129,H131,H133:H134,H136:H139,H141:H146,H148:H151,H153:H155,H157:H158,H160:H166)</f>
        <v>0</v>
      </c>
    </row>
    <row r="168" spans="5:8" ht="15">
      <c r="E168" s="8"/>
      <c r="F168" s="8"/>
      <c r="G168" s="8"/>
      <c r="H168" s="8"/>
    </row>
    <row r="169" spans="1:8" ht="15">
      <c r="A169" s="61" t="s">
        <v>97</v>
      </c>
      <c r="D169" s="60"/>
      <c r="E169" s="8"/>
      <c r="F169" s="8"/>
      <c r="G169" s="8"/>
      <c r="H169" s="8"/>
    </row>
    <row r="170" spans="2:8" ht="15">
      <c r="B170" s="61" t="s">
        <v>110</v>
      </c>
      <c r="D170" s="60"/>
      <c r="E170" s="8"/>
      <c r="F170" s="8"/>
      <c r="G170" s="8"/>
      <c r="H170" s="8"/>
    </row>
    <row r="171" spans="3:8" ht="15">
      <c r="C171" s="167" t="s">
        <v>95</v>
      </c>
      <c r="D171" s="167"/>
      <c r="E171" s="116">
        <v>0</v>
      </c>
      <c r="F171" s="116">
        <v>0</v>
      </c>
      <c r="G171" s="116">
        <v>0</v>
      </c>
      <c r="H171" s="30">
        <f>SUM(E171:G171)</f>
        <v>0</v>
      </c>
    </row>
    <row r="172" spans="2:8" ht="15">
      <c r="B172" s="59" t="s">
        <v>83</v>
      </c>
      <c r="D172" s="62"/>
      <c r="E172" s="30"/>
      <c r="F172" s="30"/>
      <c r="G172" s="30"/>
      <c r="H172" s="30"/>
    </row>
    <row r="173" spans="3:8" ht="15">
      <c r="C173" s="60" t="s">
        <v>51</v>
      </c>
      <c r="D173" s="60"/>
      <c r="E173" s="116">
        <v>0</v>
      </c>
      <c r="F173" s="116">
        <v>0</v>
      </c>
      <c r="G173" s="116">
        <v>0</v>
      </c>
      <c r="H173" s="30">
        <f aca="true" t="shared" si="4" ref="H173:H221">SUM(E173:G173)</f>
        <v>0</v>
      </c>
    </row>
    <row r="174" spans="3:8" ht="15">
      <c r="C174" s="60" t="s">
        <v>133</v>
      </c>
      <c r="D174" s="60"/>
      <c r="E174" s="116">
        <v>0</v>
      </c>
      <c r="F174" s="116">
        <v>0</v>
      </c>
      <c r="G174" s="116">
        <v>0</v>
      </c>
      <c r="H174" s="30">
        <f t="shared" si="4"/>
        <v>0</v>
      </c>
    </row>
    <row r="175" spans="2:8" ht="15">
      <c r="B175" s="92" t="s">
        <v>84</v>
      </c>
      <c r="D175" s="60"/>
      <c r="E175" s="30"/>
      <c r="F175" s="30"/>
      <c r="G175" s="30"/>
      <c r="H175" s="30"/>
    </row>
    <row r="176" spans="3:8" ht="15">
      <c r="C176" s="60" t="s">
        <v>441</v>
      </c>
      <c r="D176" s="60"/>
      <c r="E176" s="116">
        <v>0</v>
      </c>
      <c r="F176" s="116">
        <v>0</v>
      </c>
      <c r="G176" s="116">
        <v>0</v>
      </c>
      <c r="H176" s="30">
        <f t="shared" si="4"/>
        <v>0</v>
      </c>
    </row>
    <row r="177" spans="2:8" ht="15">
      <c r="B177" s="61" t="s">
        <v>88</v>
      </c>
      <c r="D177" s="60"/>
      <c r="E177" s="30"/>
      <c r="F177" s="30"/>
      <c r="G177" s="30"/>
      <c r="H177" s="30"/>
    </row>
    <row r="178" spans="3:8" ht="15">
      <c r="C178" s="91" t="s">
        <v>441</v>
      </c>
      <c r="D178" s="60"/>
      <c r="E178" s="116">
        <v>0</v>
      </c>
      <c r="F178" s="116">
        <v>0</v>
      </c>
      <c r="G178" s="116">
        <v>0</v>
      </c>
      <c r="H178" s="30">
        <f t="shared" si="4"/>
        <v>0</v>
      </c>
    </row>
    <row r="179" spans="3:8" ht="15">
      <c r="C179" s="60" t="s">
        <v>443</v>
      </c>
      <c r="D179" s="60"/>
      <c r="E179" s="116">
        <v>0</v>
      </c>
      <c r="F179" s="116">
        <v>0</v>
      </c>
      <c r="G179" s="116">
        <v>0</v>
      </c>
      <c r="H179" s="30">
        <f t="shared" si="4"/>
        <v>0</v>
      </c>
    </row>
    <row r="180" spans="2:8" ht="15">
      <c r="B180" s="61" t="s">
        <v>89</v>
      </c>
      <c r="D180" s="60"/>
      <c r="E180" s="30"/>
      <c r="F180" s="30"/>
      <c r="G180" s="30"/>
      <c r="H180" s="30"/>
    </row>
    <row r="181" spans="3:8" ht="15">
      <c r="C181" s="167" t="s">
        <v>95</v>
      </c>
      <c r="D181" s="167"/>
      <c r="E181" s="116">
        <v>0</v>
      </c>
      <c r="F181" s="116">
        <v>0</v>
      </c>
      <c r="G181" s="116">
        <v>0</v>
      </c>
      <c r="H181" s="30">
        <f t="shared" si="4"/>
        <v>0</v>
      </c>
    </row>
    <row r="182" spans="3:8" ht="15">
      <c r="C182" s="167" t="s">
        <v>90</v>
      </c>
      <c r="D182" s="167"/>
      <c r="E182" s="116">
        <v>0</v>
      </c>
      <c r="F182" s="116">
        <v>0</v>
      </c>
      <c r="G182" s="116">
        <v>0</v>
      </c>
      <c r="H182" s="30">
        <f t="shared" si="4"/>
        <v>0</v>
      </c>
    </row>
    <row r="183" spans="3:8" ht="15">
      <c r="C183" s="91" t="s">
        <v>441</v>
      </c>
      <c r="D183" s="62"/>
      <c r="E183" s="116">
        <v>0</v>
      </c>
      <c r="F183" s="116">
        <v>0</v>
      </c>
      <c r="G183" s="116">
        <v>0</v>
      </c>
      <c r="H183" s="30">
        <f t="shared" si="4"/>
        <v>0</v>
      </c>
    </row>
    <row r="184" spans="3:8" ht="15">
      <c r="C184" s="60" t="s">
        <v>443</v>
      </c>
      <c r="D184" s="62"/>
      <c r="E184" s="116">
        <v>0</v>
      </c>
      <c r="F184" s="116">
        <v>0</v>
      </c>
      <c r="G184" s="116">
        <v>0</v>
      </c>
      <c r="H184" s="30">
        <f t="shared" si="4"/>
        <v>0</v>
      </c>
    </row>
    <row r="185" spans="2:8" ht="15">
      <c r="B185" s="61" t="s">
        <v>91</v>
      </c>
      <c r="D185" s="60"/>
      <c r="E185" s="30"/>
      <c r="F185" s="30"/>
      <c r="G185" s="30"/>
      <c r="H185" s="30"/>
    </row>
    <row r="186" spans="3:8" ht="15">
      <c r="C186" s="60" t="s">
        <v>133</v>
      </c>
      <c r="D186" s="60"/>
      <c r="E186" s="116">
        <v>0</v>
      </c>
      <c r="F186" s="116">
        <v>0</v>
      </c>
      <c r="G186" s="116">
        <v>0</v>
      </c>
      <c r="H186" s="30">
        <f t="shared" si="4"/>
        <v>0</v>
      </c>
    </row>
    <row r="187" spans="3:8" ht="15">
      <c r="C187" s="167" t="s">
        <v>90</v>
      </c>
      <c r="D187" s="167"/>
      <c r="E187" s="116">
        <v>0</v>
      </c>
      <c r="F187" s="116">
        <v>0</v>
      </c>
      <c r="G187" s="116">
        <v>0</v>
      </c>
      <c r="H187" s="30">
        <f t="shared" si="4"/>
        <v>0</v>
      </c>
    </row>
    <row r="188" spans="3:8" ht="15">
      <c r="C188" s="60" t="s">
        <v>135</v>
      </c>
      <c r="D188" s="60"/>
      <c r="E188" s="116">
        <v>0</v>
      </c>
      <c r="F188" s="116">
        <v>0</v>
      </c>
      <c r="G188" s="116">
        <v>0</v>
      </c>
      <c r="H188" s="30">
        <f t="shared" si="4"/>
        <v>0</v>
      </c>
    </row>
    <row r="189" spans="3:8" ht="15">
      <c r="C189" s="91" t="s">
        <v>441</v>
      </c>
      <c r="D189" s="60"/>
      <c r="E189" s="116">
        <v>0</v>
      </c>
      <c r="F189" s="116">
        <v>0</v>
      </c>
      <c r="G189" s="116">
        <v>0</v>
      </c>
      <c r="H189" s="30">
        <f t="shared" si="4"/>
        <v>0</v>
      </c>
    </row>
    <row r="190" spans="3:8" ht="15">
      <c r="C190" s="60" t="s">
        <v>443</v>
      </c>
      <c r="D190" s="60"/>
      <c r="E190" s="116">
        <v>0</v>
      </c>
      <c r="F190" s="116">
        <v>0</v>
      </c>
      <c r="G190" s="116">
        <v>0</v>
      </c>
      <c r="H190" s="30">
        <f t="shared" si="4"/>
        <v>0</v>
      </c>
    </row>
    <row r="191" spans="3:8" ht="15">
      <c r="C191" s="167" t="s">
        <v>95</v>
      </c>
      <c r="D191" s="167"/>
      <c r="E191" s="116">
        <v>0</v>
      </c>
      <c r="F191" s="116">
        <v>0</v>
      </c>
      <c r="G191" s="116">
        <v>0</v>
      </c>
      <c r="H191" s="30">
        <f t="shared" si="4"/>
        <v>0</v>
      </c>
    </row>
    <row r="192" spans="2:8" ht="15">
      <c r="B192" s="36" t="s">
        <v>92</v>
      </c>
      <c r="D192" s="36"/>
      <c r="E192" s="30"/>
      <c r="F192" s="30"/>
      <c r="G192" s="30"/>
      <c r="H192" s="30"/>
    </row>
    <row r="193" spans="3:8" ht="15">
      <c r="C193" s="167" t="s">
        <v>90</v>
      </c>
      <c r="D193" s="167"/>
      <c r="E193" s="116">
        <v>0</v>
      </c>
      <c r="F193" s="116">
        <v>0</v>
      </c>
      <c r="G193" s="116">
        <v>0</v>
      </c>
      <c r="H193" s="30">
        <f t="shared" si="4"/>
        <v>0</v>
      </c>
    </row>
    <row r="194" spans="3:8" ht="15">
      <c r="C194" s="91" t="s">
        <v>441</v>
      </c>
      <c r="D194" s="62"/>
      <c r="E194" s="116">
        <v>0</v>
      </c>
      <c r="F194" s="116">
        <v>0</v>
      </c>
      <c r="G194" s="116">
        <v>0</v>
      </c>
      <c r="H194" s="30">
        <f t="shared" si="4"/>
        <v>0</v>
      </c>
    </row>
    <row r="195" spans="3:8" ht="15">
      <c r="C195" s="60" t="s">
        <v>443</v>
      </c>
      <c r="D195" s="62"/>
      <c r="E195" s="116">
        <v>0</v>
      </c>
      <c r="F195" s="116">
        <v>0</v>
      </c>
      <c r="G195" s="116">
        <v>0</v>
      </c>
      <c r="H195" s="30">
        <f t="shared" si="4"/>
        <v>0</v>
      </c>
    </row>
    <row r="196" spans="3:8" ht="15">
      <c r="C196" s="60" t="s">
        <v>51</v>
      </c>
      <c r="D196" s="60"/>
      <c r="E196" s="116">
        <v>0</v>
      </c>
      <c r="F196" s="116">
        <v>0</v>
      </c>
      <c r="G196" s="116">
        <v>0</v>
      </c>
      <c r="H196" s="30">
        <f t="shared" si="4"/>
        <v>0</v>
      </c>
    </row>
    <row r="197" spans="2:8" ht="15">
      <c r="B197" s="61" t="s">
        <v>109</v>
      </c>
      <c r="D197" s="60"/>
      <c r="E197" s="30"/>
      <c r="F197" s="30"/>
      <c r="G197" s="30"/>
      <c r="H197" s="30"/>
    </row>
    <row r="198" spans="3:8" ht="15">
      <c r="C198" s="60" t="s">
        <v>51</v>
      </c>
      <c r="D198" s="60"/>
      <c r="E198" s="116">
        <v>0</v>
      </c>
      <c r="F198" s="116">
        <v>0</v>
      </c>
      <c r="G198" s="116">
        <v>0</v>
      </c>
      <c r="H198" s="30">
        <f t="shared" si="4"/>
        <v>0</v>
      </c>
    </row>
    <row r="199" spans="3:8" ht="15">
      <c r="C199" s="91" t="s">
        <v>441</v>
      </c>
      <c r="D199" s="60"/>
      <c r="E199" s="116">
        <v>0</v>
      </c>
      <c r="F199" s="116">
        <v>0</v>
      </c>
      <c r="G199" s="116">
        <v>0</v>
      </c>
      <c r="H199" s="30">
        <f t="shared" si="4"/>
        <v>0</v>
      </c>
    </row>
    <row r="200" spans="3:8" ht="15">
      <c r="C200" s="60" t="s">
        <v>443</v>
      </c>
      <c r="D200" s="60"/>
      <c r="E200" s="116">
        <v>0</v>
      </c>
      <c r="F200" s="116">
        <v>0</v>
      </c>
      <c r="G200" s="116">
        <v>0</v>
      </c>
      <c r="H200" s="30">
        <f t="shared" si="4"/>
        <v>0</v>
      </c>
    </row>
    <row r="201" spans="2:8" ht="15">
      <c r="B201" s="61" t="s">
        <v>93</v>
      </c>
      <c r="D201" s="60"/>
      <c r="E201" s="30"/>
      <c r="F201" s="30"/>
      <c r="G201" s="30"/>
      <c r="H201" s="30"/>
    </row>
    <row r="202" spans="3:8" ht="15">
      <c r="C202" s="60" t="s">
        <v>133</v>
      </c>
      <c r="D202" s="60"/>
      <c r="E202" s="116">
        <v>0</v>
      </c>
      <c r="F202" s="116">
        <v>0</v>
      </c>
      <c r="G202" s="116">
        <v>0</v>
      </c>
      <c r="H202" s="30">
        <f t="shared" si="4"/>
        <v>0</v>
      </c>
    </row>
    <row r="203" spans="3:8" ht="15">
      <c r="C203" s="167" t="s">
        <v>90</v>
      </c>
      <c r="D203" s="167"/>
      <c r="E203" s="116">
        <v>0</v>
      </c>
      <c r="F203" s="116">
        <v>0</v>
      </c>
      <c r="G203" s="116">
        <v>0</v>
      </c>
      <c r="H203" s="30">
        <f t="shared" si="4"/>
        <v>0</v>
      </c>
    </row>
    <row r="204" spans="3:8" ht="15">
      <c r="C204" s="60" t="s">
        <v>61</v>
      </c>
      <c r="D204" s="60"/>
      <c r="E204" s="116">
        <v>0</v>
      </c>
      <c r="F204" s="116">
        <v>0</v>
      </c>
      <c r="G204" s="116">
        <v>0</v>
      </c>
      <c r="H204" s="30">
        <f t="shared" si="4"/>
        <v>0</v>
      </c>
    </row>
    <row r="205" spans="3:8" ht="15">
      <c r="C205" s="60" t="s">
        <v>131</v>
      </c>
      <c r="D205" s="60"/>
      <c r="E205" s="116">
        <v>0</v>
      </c>
      <c r="F205" s="116">
        <v>0</v>
      </c>
      <c r="G205" s="116">
        <v>0</v>
      </c>
      <c r="H205" s="30">
        <f t="shared" si="4"/>
        <v>0</v>
      </c>
    </row>
    <row r="206" spans="3:8" ht="15">
      <c r="C206" s="60" t="s">
        <v>62</v>
      </c>
      <c r="D206" s="60"/>
      <c r="E206" s="116">
        <v>0</v>
      </c>
      <c r="F206" s="116">
        <v>0</v>
      </c>
      <c r="G206" s="116">
        <v>0</v>
      </c>
      <c r="H206" s="30">
        <f t="shared" si="4"/>
        <v>0</v>
      </c>
    </row>
    <row r="207" spans="3:8" ht="15">
      <c r="C207" s="60" t="s">
        <v>63</v>
      </c>
      <c r="D207" s="60"/>
      <c r="E207" s="116">
        <v>0</v>
      </c>
      <c r="F207" s="116">
        <v>0</v>
      </c>
      <c r="G207" s="116">
        <v>0</v>
      </c>
      <c r="H207" s="30">
        <f t="shared" si="4"/>
        <v>0</v>
      </c>
    </row>
    <row r="208" spans="3:8" ht="15">
      <c r="C208" s="60" t="s">
        <v>64</v>
      </c>
      <c r="D208" s="60"/>
      <c r="E208" s="116">
        <v>0</v>
      </c>
      <c r="F208" s="116">
        <v>0</v>
      </c>
      <c r="G208" s="116">
        <v>0</v>
      </c>
      <c r="H208" s="30">
        <f t="shared" si="4"/>
        <v>0</v>
      </c>
    </row>
    <row r="209" spans="2:8" ht="15">
      <c r="B209" s="59" t="s">
        <v>85</v>
      </c>
      <c r="C209" s="59"/>
      <c r="E209" s="30"/>
      <c r="F209" s="30"/>
      <c r="G209" s="30"/>
      <c r="H209" s="30"/>
    </row>
    <row r="210" spans="3:8" ht="15">
      <c r="C210" s="55" t="s">
        <v>45</v>
      </c>
      <c r="E210" s="116">
        <v>0</v>
      </c>
      <c r="F210" s="116">
        <v>0</v>
      </c>
      <c r="G210" s="116">
        <v>0</v>
      </c>
      <c r="H210" s="30">
        <f t="shared" si="4"/>
        <v>0</v>
      </c>
    </row>
    <row r="211" spans="3:8" ht="15">
      <c r="C211" s="55" t="s">
        <v>46</v>
      </c>
      <c r="E211" s="116">
        <v>0</v>
      </c>
      <c r="F211" s="116">
        <v>0</v>
      </c>
      <c r="G211" s="116">
        <v>0</v>
      </c>
      <c r="H211" s="30">
        <f t="shared" si="4"/>
        <v>0</v>
      </c>
    </row>
    <row r="212" spans="3:8" ht="15">
      <c r="C212" s="55" t="s">
        <v>47</v>
      </c>
      <c r="E212" s="116">
        <v>0</v>
      </c>
      <c r="F212" s="116">
        <v>0</v>
      </c>
      <c r="G212" s="116">
        <v>0</v>
      </c>
      <c r="H212" s="30">
        <f t="shared" si="4"/>
        <v>0</v>
      </c>
    </row>
    <row r="213" spans="3:8" ht="15">
      <c r="C213" s="55" t="s">
        <v>48</v>
      </c>
      <c r="E213" s="116">
        <v>0</v>
      </c>
      <c r="F213" s="116">
        <v>0</v>
      </c>
      <c r="G213" s="116">
        <v>0</v>
      </c>
      <c r="H213" s="30">
        <f t="shared" si="4"/>
        <v>0</v>
      </c>
    </row>
    <row r="214" spans="3:8" ht="15">
      <c r="C214" s="55" t="s">
        <v>49</v>
      </c>
      <c r="E214" s="116">
        <v>0</v>
      </c>
      <c r="F214" s="116">
        <v>0</v>
      </c>
      <c r="G214" s="116">
        <v>0</v>
      </c>
      <c r="H214" s="30">
        <f t="shared" si="4"/>
        <v>0</v>
      </c>
    </row>
    <row r="215" spans="3:8" ht="15">
      <c r="C215" s="55" t="s">
        <v>65</v>
      </c>
      <c r="E215" s="116"/>
      <c r="F215" s="116"/>
      <c r="G215" s="116"/>
      <c r="H215" s="30"/>
    </row>
    <row r="216" spans="3:8" ht="15">
      <c r="C216" s="55" t="s">
        <v>66</v>
      </c>
      <c r="E216" s="116">
        <v>0</v>
      </c>
      <c r="F216" s="116">
        <v>0</v>
      </c>
      <c r="G216" s="116">
        <v>0</v>
      </c>
      <c r="H216" s="30">
        <f t="shared" si="4"/>
        <v>0</v>
      </c>
    </row>
    <row r="217" spans="3:8" ht="15">
      <c r="C217" s="55" t="s">
        <v>67</v>
      </c>
      <c r="E217" s="116">
        <v>0</v>
      </c>
      <c r="F217" s="116">
        <v>0</v>
      </c>
      <c r="G217" s="116">
        <v>0</v>
      </c>
      <c r="H217" s="30">
        <f t="shared" si="4"/>
        <v>0</v>
      </c>
    </row>
    <row r="218" spans="3:8" ht="15">
      <c r="C218" s="55" t="s">
        <v>68</v>
      </c>
      <c r="E218" s="116">
        <v>0</v>
      </c>
      <c r="F218" s="116">
        <v>0</v>
      </c>
      <c r="G218" s="116">
        <v>0</v>
      </c>
      <c r="H218" s="30">
        <f t="shared" si="4"/>
        <v>0</v>
      </c>
    </row>
    <row r="219" spans="3:8" ht="15">
      <c r="C219" s="55" t="s">
        <v>69</v>
      </c>
      <c r="E219" s="116">
        <v>0</v>
      </c>
      <c r="F219" s="116">
        <v>0</v>
      </c>
      <c r="G219" s="116">
        <v>0</v>
      </c>
      <c r="H219" s="30">
        <f t="shared" si="4"/>
        <v>0</v>
      </c>
    </row>
    <row r="220" spans="3:8" ht="15">
      <c r="C220" s="166" t="s">
        <v>86</v>
      </c>
      <c r="D220" s="166"/>
      <c r="E220" s="116">
        <v>0</v>
      </c>
      <c r="F220" s="116">
        <v>0</v>
      </c>
      <c r="G220" s="116">
        <v>0</v>
      </c>
      <c r="H220" s="30">
        <f t="shared" si="4"/>
        <v>0</v>
      </c>
    </row>
    <row r="221" spans="3:8" ht="15">
      <c r="C221" s="55" t="s">
        <v>50</v>
      </c>
      <c r="E221" s="116">
        <v>0</v>
      </c>
      <c r="F221" s="116">
        <v>0</v>
      </c>
      <c r="G221" s="116">
        <v>0</v>
      </c>
      <c r="H221" s="30">
        <f t="shared" si="4"/>
        <v>0</v>
      </c>
    </row>
    <row r="222" spans="1:8" ht="15.75" thickBot="1">
      <c r="A222" s="156"/>
      <c r="B222" s="157" t="s">
        <v>105</v>
      </c>
      <c r="C222" s="156"/>
      <c r="D222" s="156"/>
      <c r="E222" s="158">
        <f>SUM(E171,E173:E174,E176,E178:E179,E181:E184,E186:E191,E193:E196,E198:E200,E202:E208,E210:E214,E216:E221)</f>
        <v>0</v>
      </c>
      <c r="F222" s="158">
        <f>SUM(F171,F173:F174,F176,F178:F179,F181:F184,F186:F191,F193:F196,F198:F200,F202:F208,F210:F214,F216:F221)</f>
        <v>0</v>
      </c>
      <c r="G222" s="158">
        <f>SUM(G171,G173:G174,G176,G178:G179,G181:G184,G186:G191,G193:G196,G198:G200,G202:G208,G210:G214,G216:G221)</f>
        <v>0</v>
      </c>
      <c r="H222" s="158">
        <f>SUM(H171,H173:H174,H176,H178:H179,H181:H184,H186:H191,H193:H196,H198:H200,H202:H208,H210:H214,H216:H221)</f>
        <v>0</v>
      </c>
    </row>
    <row r="223" spans="5:8" ht="15">
      <c r="E223" s="8"/>
      <c r="F223" s="8"/>
      <c r="G223" s="8"/>
      <c r="H223" s="8"/>
    </row>
    <row r="224" spans="1:8" ht="15">
      <c r="A224" s="61" t="s">
        <v>108</v>
      </c>
      <c r="D224" s="60"/>
      <c r="E224" s="8"/>
      <c r="F224" s="8"/>
      <c r="G224" s="8"/>
      <c r="H224" s="8"/>
    </row>
    <row r="225" spans="2:8" ht="15">
      <c r="B225" s="63" t="s">
        <v>110</v>
      </c>
      <c r="D225" s="60"/>
      <c r="E225" s="8"/>
      <c r="F225" s="8"/>
      <c r="G225" s="8"/>
      <c r="H225" s="8"/>
    </row>
    <row r="226" spans="3:8" ht="15">
      <c r="C226" s="167" t="s">
        <v>95</v>
      </c>
      <c r="D226" s="167"/>
      <c r="E226" s="116">
        <v>0</v>
      </c>
      <c r="F226" s="116">
        <v>0</v>
      </c>
      <c r="G226" s="116">
        <v>0</v>
      </c>
      <c r="H226" s="30">
        <f>SUM(E226:G226)</f>
        <v>0</v>
      </c>
    </row>
    <row r="227" spans="2:8" ht="15">
      <c r="B227" s="61" t="s">
        <v>83</v>
      </c>
      <c r="D227" s="60"/>
      <c r="E227" s="30"/>
      <c r="F227" s="30"/>
      <c r="G227" s="30"/>
      <c r="H227" s="30"/>
    </row>
    <row r="228" spans="3:8" ht="15">
      <c r="C228" s="60" t="s">
        <v>133</v>
      </c>
      <c r="D228" s="60"/>
      <c r="E228" s="116">
        <v>0</v>
      </c>
      <c r="F228" s="116">
        <v>0</v>
      </c>
      <c r="G228" s="116">
        <v>0</v>
      </c>
      <c r="H228" s="30">
        <f aca="true" t="shared" si="5" ref="H228:H255">SUM(E228:G228)</f>
        <v>0</v>
      </c>
    </row>
    <row r="229" spans="2:8" ht="15">
      <c r="B229" s="92" t="s">
        <v>84</v>
      </c>
      <c r="D229" s="60"/>
      <c r="E229" s="30"/>
      <c r="F229" s="30"/>
      <c r="G229" s="30"/>
      <c r="H229" s="30"/>
    </row>
    <row r="230" spans="3:8" ht="15">
      <c r="C230" s="60" t="s">
        <v>441</v>
      </c>
      <c r="D230" s="60"/>
      <c r="E230" s="116">
        <v>0</v>
      </c>
      <c r="F230" s="116">
        <v>0</v>
      </c>
      <c r="G230" s="116">
        <v>0</v>
      </c>
      <c r="H230" s="30">
        <f t="shared" si="5"/>
        <v>0</v>
      </c>
    </row>
    <row r="231" spans="2:8" ht="15">
      <c r="B231" s="61" t="s">
        <v>88</v>
      </c>
      <c r="D231" s="60"/>
      <c r="E231" s="30"/>
      <c r="F231" s="30"/>
      <c r="G231" s="30"/>
      <c r="H231" s="30"/>
    </row>
    <row r="232" spans="3:8" ht="15">
      <c r="C232" s="91" t="s">
        <v>441</v>
      </c>
      <c r="D232" s="60"/>
      <c r="E232" s="116">
        <v>0</v>
      </c>
      <c r="F232" s="116">
        <v>0</v>
      </c>
      <c r="G232" s="116">
        <v>0</v>
      </c>
      <c r="H232" s="30">
        <f t="shared" si="5"/>
        <v>0</v>
      </c>
    </row>
    <row r="233" spans="3:8" ht="15">
      <c r="C233" s="60" t="s">
        <v>443</v>
      </c>
      <c r="D233" s="60"/>
      <c r="E233" s="116">
        <v>0</v>
      </c>
      <c r="F233" s="116">
        <v>0</v>
      </c>
      <c r="G233" s="116">
        <v>0</v>
      </c>
      <c r="H233" s="30">
        <f t="shared" si="5"/>
        <v>0</v>
      </c>
    </row>
    <row r="234" spans="2:8" ht="15">
      <c r="B234" s="61" t="s">
        <v>89</v>
      </c>
      <c r="D234" s="60"/>
      <c r="E234" s="30"/>
      <c r="F234" s="30"/>
      <c r="G234" s="30"/>
      <c r="H234" s="30"/>
    </row>
    <row r="235" spans="3:8" ht="15">
      <c r="C235" s="60" t="s">
        <v>133</v>
      </c>
      <c r="D235" s="60"/>
      <c r="E235" s="116">
        <v>0</v>
      </c>
      <c r="F235" s="116">
        <v>0</v>
      </c>
      <c r="G235" s="116">
        <v>0</v>
      </c>
      <c r="H235" s="30">
        <f t="shared" si="5"/>
        <v>0</v>
      </c>
    </row>
    <row r="236" spans="3:8" ht="15">
      <c r="C236" s="60" t="s">
        <v>90</v>
      </c>
      <c r="D236" s="60"/>
      <c r="E236" s="116">
        <v>0</v>
      </c>
      <c r="F236" s="116">
        <v>0</v>
      </c>
      <c r="G236" s="116">
        <v>0</v>
      </c>
      <c r="H236" s="30">
        <f t="shared" si="5"/>
        <v>0</v>
      </c>
    </row>
    <row r="237" spans="3:8" ht="15">
      <c r="C237" s="60" t="s">
        <v>61</v>
      </c>
      <c r="D237" s="60"/>
      <c r="E237" s="116">
        <v>0</v>
      </c>
      <c r="F237" s="116">
        <v>0</v>
      </c>
      <c r="G237" s="116">
        <v>0</v>
      </c>
      <c r="H237" s="30">
        <f t="shared" si="5"/>
        <v>0</v>
      </c>
    </row>
    <row r="238" spans="3:8" ht="15">
      <c r="C238" s="60" t="s">
        <v>131</v>
      </c>
      <c r="D238" s="60"/>
      <c r="E238" s="116">
        <v>0</v>
      </c>
      <c r="F238" s="116">
        <v>0</v>
      </c>
      <c r="G238" s="116">
        <v>0</v>
      </c>
      <c r="H238" s="30">
        <f t="shared" si="5"/>
        <v>0</v>
      </c>
    </row>
    <row r="239" spans="3:8" ht="15">
      <c r="C239" s="60" t="s">
        <v>62</v>
      </c>
      <c r="D239" s="60"/>
      <c r="E239" s="116">
        <v>0</v>
      </c>
      <c r="F239" s="116">
        <v>0</v>
      </c>
      <c r="G239" s="116">
        <v>0</v>
      </c>
      <c r="H239" s="30">
        <f t="shared" si="5"/>
        <v>0</v>
      </c>
    </row>
    <row r="240" spans="3:8" ht="15">
      <c r="C240" s="60" t="s">
        <v>63</v>
      </c>
      <c r="D240" s="60"/>
      <c r="E240" s="116">
        <v>0</v>
      </c>
      <c r="F240" s="116">
        <v>0</v>
      </c>
      <c r="G240" s="116">
        <v>0</v>
      </c>
      <c r="H240" s="30">
        <f t="shared" si="5"/>
        <v>0</v>
      </c>
    </row>
    <row r="241" spans="3:8" ht="15">
      <c r="C241" s="60" t="s">
        <v>64</v>
      </c>
      <c r="D241" s="60"/>
      <c r="E241" s="116">
        <v>0</v>
      </c>
      <c r="F241" s="116">
        <v>0</v>
      </c>
      <c r="G241" s="116">
        <v>0</v>
      </c>
      <c r="H241" s="30">
        <f t="shared" si="5"/>
        <v>0</v>
      </c>
    </row>
    <row r="242" spans="2:8" ht="15">
      <c r="B242" s="59" t="s">
        <v>85</v>
      </c>
      <c r="C242" s="59"/>
      <c r="E242" s="30"/>
      <c r="F242" s="30"/>
      <c r="G242" s="30"/>
      <c r="H242" s="30"/>
    </row>
    <row r="243" spans="3:8" ht="15">
      <c r="C243" s="55" t="s">
        <v>45</v>
      </c>
      <c r="E243" s="116">
        <v>0</v>
      </c>
      <c r="F243" s="116">
        <v>0</v>
      </c>
      <c r="G243" s="116">
        <v>0</v>
      </c>
      <c r="H243" s="30">
        <f t="shared" si="5"/>
        <v>0</v>
      </c>
    </row>
    <row r="244" spans="3:8" ht="15">
      <c r="C244" s="55" t="s">
        <v>46</v>
      </c>
      <c r="E244" s="116">
        <v>0</v>
      </c>
      <c r="F244" s="116">
        <v>0</v>
      </c>
      <c r="G244" s="116">
        <v>0</v>
      </c>
      <c r="H244" s="30">
        <f t="shared" si="5"/>
        <v>0</v>
      </c>
    </row>
    <row r="245" spans="3:8" ht="15">
      <c r="C245" s="55" t="s">
        <v>47</v>
      </c>
      <c r="E245" s="116">
        <v>0</v>
      </c>
      <c r="F245" s="116">
        <v>0</v>
      </c>
      <c r="G245" s="116">
        <v>0</v>
      </c>
      <c r="H245" s="30">
        <f t="shared" si="5"/>
        <v>0</v>
      </c>
    </row>
    <row r="246" spans="3:8" ht="15">
      <c r="C246" s="55" t="s">
        <v>48</v>
      </c>
      <c r="E246" s="116">
        <v>0</v>
      </c>
      <c r="F246" s="116">
        <v>0</v>
      </c>
      <c r="G246" s="116">
        <v>0</v>
      </c>
      <c r="H246" s="30">
        <f t="shared" si="5"/>
        <v>0</v>
      </c>
    </row>
    <row r="247" spans="3:8" ht="15">
      <c r="C247" s="55" t="s">
        <v>49</v>
      </c>
      <c r="E247" s="116">
        <v>0</v>
      </c>
      <c r="F247" s="116">
        <v>0</v>
      </c>
      <c r="G247" s="116">
        <v>0</v>
      </c>
      <c r="H247" s="30">
        <f t="shared" si="5"/>
        <v>0</v>
      </c>
    </row>
    <row r="248" spans="3:8" ht="15">
      <c r="C248" s="55" t="s">
        <v>65</v>
      </c>
      <c r="E248" s="116"/>
      <c r="F248" s="116"/>
      <c r="G248" s="116"/>
      <c r="H248" s="30"/>
    </row>
    <row r="249" spans="3:8" ht="15">
      <c r="C249" s="55" t="s">
        <v>66</v>
      </c>
      <c r="E249" s="116">
        <v>0</v>
      </c>
      <c r="F249" s="116">
        <v>0</v>
      </c>
      <c r="G249" s="116">
        <v>0</v>
      </c>
      <c r="H249" s="30">
        <f t="shared" si="5"/>
        <v>0</v>
      </c>
    </row>
    <row r="250" spans="3:8" ht="15">
      <c r="C250" s="55" t="s">
        <v>67</v>
      </c>
      <c r="E250" s="116">
        <v>0</v>
      </c>
      <c r="F250" s="116">
        <v>0</v>
      </c>
      <c r="G250" s="116">
        <v>0</v>
      </c>
      <c r="H250" s="30">
        <f t="shared" si="5"/>
        <v>0</v>
      </c>
    </row>
    <row r="251" spans="3:8" ht="15">
      <c r="C251" s="55" t="s">
        <v>68</v>
      </c>
      <c r="E251" s="116">
        <v>0</v>
      </c>
      <c r="F251" s="116">
        <v>0</v>
      </c>
      <c r="G251" s="116">
        <v>0</v>
      </c>
      <c r="H251" s="30">
        <f t="shared" si="5"/>
        <v>0</v>
      </c>
    </row>
    <row r="252" spans="3:8" ht="15">
      <c r="C252" s="55" t="s">
        <v>69</v>
      </c>
      <c r="E252" s="116">
        <v>0</v>
      </c>
      <c r="F252" s="116">
        <v>0</v>
      </c>
      <c r="G252" s="116">
        <v>0</v>
      </c>
      <c r="H252" s="30">
        <f t="shared" si="5"/>
        <v>0</v>
      </c>
    </row>
    <row r="253" spans="3:8" ht="15">
      <c r="C253" s="55" t="s">
        <v>59</v>
      </c>
      <c r="E253" s="116">
        <v>0</v>
      </c>
      <c r="F253" s="116">
        <v>0</v>
      </c>
      <c r="G253" s="116">
        <v>0</v>
      </c>
      <c r="H253" s="30">
        <f t="shared" si="5"/>
        <v>0</v>
      </c>
    </row>
    <row r="254" spans="3:8" ht="15">
      <c r="C254" s="166" t="s">
        <v>86</v>
      </c>
      <c r="D254" s="166"/>
      <c r="E254" s="116">
        <v>0</v>
      </c>
      <c r="F254" s="116">
        <v>0</v>
      </c>
      <c r="G254" s="116">
        <v>0</v>
      </c>
      <c r="H254" s="30">
        <f t="shared" si="5"/>
        <v>0</v>
      </c>
    </row>
    <row r="255" spans="3:8" ht="15">
      <c r="C255" s="55" t="s">
        <v>50</v>
      </c>
      <c r="E255" s="116">
        <v>0</v>
      </c>
      <c r="F255" s="116">
        <v>0</v>
      </c>
      <c r="G255" s="116">
        <v>0</v>
      </c>
      <c r="H255" s="30">
        <f t="shared" si="5"/>
        <v>0</v>
      </c>
    </row>
    <row r="256" spans="1:8" ht="15.75" thickBot="1">
      <c r="A256" s="156"/>
      <c r="B256" s="157" t="s">
        <v>106</v>
      </c>
      <c r="C256" s="156"/>
      <c r="D256" s="157"/>
      <c r="E256" s="158">
        <f>SUM(E226,E228,E230,E232:E233,E235:E241,E243:E247,E249:E255)</f>
        <v>0</v>
      </c>
      <c r="F256" s="158">
        <f>SUM(F226,F228,F230,F232:F233,F235:F241,F243:F247,F249:F255)</f>
        <v>0</v>
      </c>
      <c r="G256" s="158">
        <f>SUM(G226,G228,G230,G232:G233,G235:G241,G243:G247,G249:G255)</f>
        <v>0</v>
      </c>
      <c r="H256" s="158">
        <f>SUM(H226,H228,H230,H232:H233,H235:H241,H243:H247,H249:H255)</f>
        <v>0</v>
      </c>
    </row>
  </sheetData>
  <sheetProtection password="96BD" sheet="1"/>
  <mergeCells count="38">
    <mergeCell ref="C1:H1"/>
    <mergeCell ref="C2:H2"/>
    <mergeCell ref="C5:D5"/>
    <mergeCell ref="C7:D7"/>
    <mergeCell ref="A8:B8"/>
    <mergeCell ref="C13:D13"/>
    <mergeCell ref="C14:D14"/>
    <mergeCell ref="C17:D17"/>
    <mergeCell ref="C73:D73"/>
    <mergeCell ref="C79:D79"/>
    <mergeCell ref="C89:D89"/>
    <mergeCell ref="C90:D90"/>
    <mergeCell ref="C95:D95"/>
    <mergeCell ref="C97:D97"/>
    <mergeCell ref="C103:D103"/>
    <mergeCell ref="C112:D112"/>
    <mergeCell ref="C120:D120"/>
    <mergeCell ref="C126:D126"/>
    <mergeCell ref="C136:D136"/>
    <mergeCell ref="C137:D137"/>
    <mergeCell ref="C142:D142"/>
    <mergeCell ref="C143:D143"/>
    <mergeCell ref="C146:D146"/>
    <mergeCell ref="C148:D148"/>
    <mergeCell ref="C151:D151"/>
    <mergeCell ref="C153:D153"/>
    <mergeCell ref="C157:D157"/>
    <mergeCell ref="C165:D165"/>
    <mergeCell ref="C171:D171"/>
    <mergeCell ref="C181:D181"/>
    <mergeCell ref="C226:D226"/>
    <mergeCell ref="C254:D254"/>
    <mergeCell ref="C182:D182"/>
    <mergeCell ref="C187:D187"/>
    <mergeCell ref="C191:D191"/>
    <mergeCell ref="C193:D193"/>
    <mergeCell ref="C203:D203"/>
    <mergeCell ref="C220:D220"/>
  </mergeCells>
  <printOptions/>
  <pageMargins left="0.7" right="0.7" top="0.75" bottom="0.75" header="0.3" footer="0.3"/>
  <pageSetup horizontalDpi="600" verticalDpi="600" orientation="portrait" scale="83" r:id="rId1"/>
  <rowBreaks count="5" manualBreakCount="5">
    <brk id="46" max="7" man="1"/>
    <brk id="75" max="7" man="1"/>
    <brk id="122" max="7" man="1"/>
    <brk id="168" max="7" man="1"/>
    <brk id="222" max="255" man="1"/>
  </rowBreaks>
</worksheet>
</file>

<file path=xl/worksheets/sheet6.xml><?xml version="1.0" encoding="utf-8"?>
<worksheet xmlns="http://schemas.openxmlformats.org/spreadsheetml/2006/main" xmlns:r="http://schemas.openxmlformats.org/officeDocument/2006/relationships">
  <sheetPr>
    <tabColor rgb="FF92D050"/>
  </sheetPr>
  <dimension ref="A1:H55"/>
  <sheetViews>
    <sheetView zoomScaleSheetLayoutView="130" zoomScalePageLayoutView="0" workbookViewId="0" topLeftCell="C19">
      <selection activeCell="O55" sqref="O55"/>
    </sheetView>
  </sheetViews>
  <sheetFormatPr defaultColWidth="9.140625" defaultRowHeight="15"/>
  <cols>
    <col min="1" max="1" width="9.140625" style="55" customWidth="1"/>
    <col min="2" max="2" width="17.421875" style="55" customWidth="1"/>
    <col min="3" max="3" width="14.7109375" style="55" customWidth="1"/>
    <col min="4" max="5" width="12.7109375" style="55" customWidth="1"/>
    <col min="6" max="6" width="13.00390625" style="55" customWidth="1"/>
    <col min="7" max="7" width="12.7109375" style="55" customWidth="1"/>
    <col min="8" max="16384" width="9.140625" style="55" customWidth="1"/>
  </cols>
  <sheetData>
    <row r="1" spans="2:8" ht="15">
      <c r="B1" s="162" t="s">
        <v>112</v>
      </c>
      <c r="C1" s="162"/>
      <c r="D1" s="162"/>
      <c r="E1" s="162"/>
      <c r="F1" s="162"/>
      <c r="G1" s="162"/>
      <c r="H1" s="41"/>
    </row>
    <row r="2" spans="2:8" ht="15">
      <c r="B2" s="162" t="s">
        <v>124</v>
      </c>
      <c r="C2" s="162"/>
      <c r="D2" s="162"/>
      <c r="E2" s="162"/>
      <c r="F2" s="162"/>
      <c r="G2" s="162"/>
      <c r="H2" s="37"/>
    </row>
    <row r="3" spans="2:8" ht="15">
      <c r="B3" s="37"/>
      <c r="C3" s="37"/>
      <c r="D3" s="37"/>
      <c r="E3" s="37"/>
      <c r="F3" s="37"/>
      <c r="G3" s="37"/>
      <c r="H3" s="37"/>
    </row>
    <row r="4" spans="2:8" ht="15">
      <c r="B4" s="37"/>
      <c r="C4" s="37"/>
      <c r="D4" s="37"/>
      <c r="E4" s="37"/>
      <c r="F4" s="37"/>
      <c r="G4" s="37"/>
      <c r="H4" s="37"/>
    </row>
    <row r="5" spans="1:7" ht="15">
      <c r="A5" s="75" t="s">
        <v>452</v>
      </c>
      <c r="B5" s="94"/>
      <c r="C5" s="94"/>
      <c r="D5" s="94"/>
      <c r="E5" s="103"/>
      <c r="F5" s="103"/>
      <c r="G5" s="104" t="s">
        <v>445</v>
      </c>
    </row>
    <row r="6" spans="1:7" ht="15">
      <c r="A6" s="75" t="s">
        <v>446</v>
      </c>
      <c r="B6" s="66"/>
      <c r="C6" s="66"/>
      <c r="D6" s="66"/>
      <c r="E6" s="95" t="s">
        <v>0</v>
      </c>
      <c r="F6" s="95" t="s">
        <v>447</v>
      </c>
      <c r="G6" s="95" t="s">
        <v>100</v>
      </c>
    </row>
    <row r="7" spans="1:7" ht="15.75" thickBot="1">
      <c r="A7" s="66" t="s">
        <v>448</v>
      </c>
      <c r="B7" s="66"/>
      <c r="C7" s="96">
        <v>0</v>
      </c>
      <c r="D7" s="66"/>
      <c r="E7" s="100" t="s">
        <v>99</v>
      </c>
      <c r="F7" s="100" t="s">
        <v>449</v>
      </c>
      <c r="G7" s="100" t="s">
        <v>98</v>
      </c>
    </row>
    <row r="8" spans="1:7" ht="15">
      <c r="A8" s="66" t="s">
        <v>450</v>
      </c>
      <c r="B8" s="66"/>
      <c r="C8" s="89">
        <v>0</v>
      </c>
      <c r="D8" s="70"/>
      <c r="E8" s="65" t="s">
        <v>14</v>
      </c>
      <c r="F8" s="65">
        <f>D41</f>
        <v>0</v>
      </c>
      <c r="G8" s="97">
        <f>IF(C9=0,0,F8/C9)</f>
        <v>0</v>
      </c>
    </row>
    <row r="9" spans="1:7" ht="15">
      <c r="A9" s="66" t="s">
        <v>4</v>
      </c>
      <c r="B9" s="66"/>
      <c r="C9" s="98">
        <f>C7*C8</f>
        <v>0</v>
      </c>
      <c r="D9" s="70"/>
      <c r="E9" s="70" t="s">
        <v>1</v>
      </c>
      <c r="F9" s="102">
        <f>D42+D43</f>
        <v>0</v>
      </c>
      <c r="G9" s="97">
        <f>IF(C9=0,0,F9/C9)</f>
        <v>0</v>
      </c>
    </row>
    <row r="10" spans="1:7" ht="15.75" thickBot="1">
      <c r="A10" s="66" t="s">
        <v>451</v>
      </c>
      <c r="B10" s="66"/>
      <c r="C10" s="66">
        <v>0</v>
      </c>
      <c r="D10" s="66"/>
      <c r="E10" s="100" t="s">
        <v>2</v>
      </c>
      <c r="F10" s="108">
        <f>D44+D45+D46</f>
        <v>0</v>
      </c>
      <c r="G10" s="101">
        <f>IF(C9=0,0,F10/C9)</f>
        <v>0</v>
      </c>
    </row>
    <row r="11" spans="1:4" ht="15">
      <c r="A11" s="66" t="s">
        <v>3</v>
      </c>
      <c r="B11" s="66"/>
      <c r="C11" s="99">
        <f>IF(C9=0,0,C10/C9)</f>
        <v>0</v>
      </c>
      <c r="D11" s="66"/>
    </row>
    <row r="12" spans="1:7" ht="15">
      <c r="A12" s="66" t="s">
        <v>453</v>
      </c>
      <c r="B12" s="66"/>
      <c r="C12" s="114">
        <f>C9-C10</f>
        <v>0</v>
      </c>
      <c r="D12" s="66" t="s">
        <v>5</v>
      </c>
      <c r="E12" s="66"/>
      <c r="F12" s="102">
        <f>SUM(F8:F10)</f>
        <v>0</v>
      </c>
      <c r="G12" s="97">
        <f>SUM(G8:G10)</f>
        <v>0</v>
      </c>
    </row>
    <row r="13" spans="1:7" ht="15">
      <c r="A13" s="66"/>
      <c r="B13" s="66"/>
      <c r="C13" s="66"/>
      <c r="D13" s="66"/>
      <c r="E13" s="66"/>
      <c r="F13" s="102"/>
      <c r="G13" s="97"/>
    </row>
    <row r="14" spans="1:7" ht="15">
      <c r="A14" s="66"/>
      <c r="B14" s="66"/>
      <c r="C14" s="66"/>
      <c r="D14" s="66"/>
      <c r="E14" s="66"/>
      <c r="F14" s="102"/>
      <c r="G14" s="97"/>
    </row>
    <row r="15" ht="15">
      <c r="B15" s="33" t="s">
        <v>141</v>
      </c>
    </row>
    <row r="16" ht="15.75" thickBot="1"/>
    <row r="17" spans="2:7" ht="15.75" thickBot="1">
      <c r="B17" s="4"/>
      <c r="C17" s="57" t="s">
        <v>8</v>
      </c>
      <c r="D17" s="57" t="s">
        <v>9</v>
      </c>
      <c r="E17" s="57" t="s">
        <v>6</v>
      </c>
      <c r="F17" s="172" t="s">
        <v>72</v>
      </c>
      <c r="G17" s="172"/>
    </row>
    <row r="18" spans="2:7" ht="15.75" thickBot="1">
      <c r="B18" s="6" t="s">
        <v>7</v>
      </c>
      <c r="C18" s="7" t="s">
        <v>71</v>
      </c>
      <c r="D18" s="7" t="s">
        <v>71</v>
      </c>
      <c r="E18" s="7" t="s">
        <v>10</v>
      </c>
      <c r="F18" s="7" t="s">
        <v>8</v>
      </c>
      <c r="G18" s="7" t="s">
        <v>9</v>
      </c>
    </row>
    <row r="19" spans="2:7" ht="15">
      <c r="B19" s="55" t="s">
        <v>11</v>
      </c>
      <c r="C19" s="13">
        <f>'Your Costs'!H29</f>
        <v>0</v>
      </c>
      <c r="D19" s="13">
        <f>C19</f>
        <v>0</v>
      </c>
      <c r="E19" s="1">
        <f>C12</f>
        <v>0</v>
      </c>
      <c r="F19" s="13">
        <f aca="true" t="shared" si="0" ref="F19:F24">IF(E19=0,0,C19/E19)</f>
        <v>0</v>
      </c>
      <c r="G19" s="13">
        <f>F19</f>
        <v>0</v>
      </c>
    </row>
    <row r="20" spans="2:7" ht="15">
      <c r="B20" s="55" t="s">
        <v>12</v>
      </c>
      <c r="C20" s="13">
        <f>'Your Costs'!H75</f>
        <v>0</v>
      </c>
      <c r="D20" s="13">
        <f>SUM(C19+C20)</f>
        <v>0</v>
      </c>
      <c r="E20" s="1">
        <f>C12</f>
        <v>0</v>
      </c>
      <c r="F20" s="13">
        <f t="shared" si="0"/>
        <v>0</v>
      </c>
      <c r="G20" s="13">
        <f>G19+F20</f>
        <v>0</v>
      </c>
    </row>
    <row r="21" spans="2:7" ht="15">
      <c r="B21" s="55" t="s">
        <v>13</v>
      </c>
      <c r="C21" s="13">
        <f>'Your Costs'!H122</f>
        <v>0</v>
      </c>
      <c r="D21" s="13">
        <f>SUM(C19:C21)</f>
        <v>0</v>
      </c>
      <c r="E21" s="1">
        <f>C12</f>
        <v>0</v>
      </c>
      <c r="F21" s="13">
        <f t="shared" si="0"/>
        <v>0</v>
      </c>
      <c r="G21" s="13">
        <f>G20+F21</f>
        <v>0</v>
      </c>
    </row>
    <row r="22" spans="2:7" ht="15">
      <c r="B22" s="55" t="s">
        <v>14</v>
      </c>
      <c r="C22" s="13">
        <f>'Your Costs'!H167</f>
        <v>0</v>
      </c>
      <c r="D22" s="13">
        <f>SUM(C19:C22)</f>
        <v>0</v>
      </c>
      <c r="E22" s="1">
        <f>C12</f>
        <v>0</v>
      </c>
      <c r="F22" s="13">
        <f t="shared" si="0"/>
        <v>0</v>
      </c>
      <c r="G22" s="117">
        <f>G21+F22</f>
        <v>0</v>
      </c>
    </row>
    <row r="23" spans="2:7" ht="15">
      <c r="B23" s="55" t="s">
        <v>1</v>
      </c>
      <c r="C23" s="13">
        <f>'Your Costs'!H222</f>
        <v>0</v>
      </c>
      <c r="D23" s="13">
        <f>SUM(C19:C23)</f>
        <v>0</v>
      </c>
      <c r="E23" s="1">
        <f>C12-F8</f>
        <v>0</v>
      </c>
      <c r="F23" s="13">
        <f t="shared" si="0"/>
        <v>0</v>
      </c>
      <c r="G23" s="50">
        <f>G22+F23</f>
        <v>0</v>
      </c>
    </row>
    <row r="24" spans="2:7" ht="15.75" thickBot="1">
      <c r="B24" s="55" t="s">
        <v>2</v>
      </c>
      <c r="C24" s="13">
        <f>'Your Costs'!H256</f>
        <v>0</v>
      </c>
      <c r="D24" s="19">
        <f>SUM(C19:C24)</f>
        <v>0</v>
      </c>
      <c r="E24" s="1">
        <f>C12-F8-F9</f>
        <v>0</v>
      </c>
      <c r="F24" s="13">
        <f t="shared" si="0"/>
        <v>0</v>
      </c>
      <c r="G24" s="50">
        <f>G23+F24</f>
        <v>0</v>
      </c>
    </row>
    <row r="25" spans="2:7" ht="15">
      <c r="B25" s="15" t="s">
        <v>15</v>
      </c>
      <c r="C25" s="51">
        <f>SUM(C19:C24)</f>
        <v>0</v>
      </c>
      <c r="D25" s="28"/>
      <c r="E25" s="21">
        <f>C12-F8-F9-F10</f>
        <v>0</v>
      </c>
      <c r="F25" s="28"/>
      <c r="G25" s="28"/>
    </row>
    <row r="26" spans="2:7" ht="15.75" thickBot="1">
      <c r="B26" s="6" t="s">
        <v>16</v>
      </c>
      <c r="C26" s="6"/>
      <c r="D26" s="6"/>
      <c r="E26" s="6"/>
      <c r="F26" s="6"/>
      <c r="G26" s="105">
        <f>IF(F12=0,0,C25/F12)</f>
        <v>0</v>
      </c>
    </row>
    <row r="27" ht="15.75" thickBot="1"/>
    <row r="28" spans="2:7" ht="15">
      <c r="B28" s="33" t="s">
        <v>17</v>
      </c>
      <c r="C28" s="4" t="s">
        <v>0</v>
      </c>
      <c r="D28" s="4"/>
      <c r="E28" s="57" t="s">
        <v>6</v>
      </c>
      <c r="F28" s="57" t="s">
        <v>19</v>
      </c>
      <c r="G28" s="57" t="s">
        <v>15</v>
      </c>
    </row>
    <row r="29" spans="3:7" ht="15.75" thickBot="1">
      <c r="C29" s="6" t="s">
        <v>7</v>
      </c>
      <c r="D29" s="6"/>
      <c r="E29" s="7" t="s">
        <v>74</v>
      </c>
      <c r="F29" s="7" t="s">
        <v>20</v>
      </c>
      <c r="G29" s="7" t="s">
        <v>35</v>
      </c>
    </row>
    <row r="30" spans="3:7" s="64" customFormat="1" ht="15">
      <c r="C30" s="15" t="s">
        <v>14</v>
      </c>
      <c r="D30" s="15"/>
      <c r="E30" s="29">
        <f>C9*G8</f>
        <v>0</v>
      </c>
      <c r="F30" s="28">
        <f>G22</f>
        <v>0</v>
      </c>
      <c r="G30" s="8">
        <f>E30*F30</f>
        <v>0</v>
      </c>
    </row>
    <row r="31" spans="3:7" ht="15">
      <c r="C31" s="55" t="s">
        <v>1</v>
      </c>
      <c r="E31" s="1">
        <f>C9*G9</f>
        <v>0</v>
      </c>
      <c r="F31" s="13">
        <f>G23</f>
        <v>0</v>
      </c>
      <c r="G31" s="8">
        <f>E31*F31</f>
        <v>0</v>
      </c>
    </row>
    <row r="32" spans="3:7" ht="15">
      <c r="C32" s="55" t="s">
        <v>2</v>
      </c>
      <c r="E32" s="23">
        <f>C9*G10</f>
        <v>0</v>
      </c>
      <c r="F32" s="13">
        <f>G24</f>
        <v>0</v>
      </c>
      <c r="G32" s="24">
        <f>E32*F32</f>
        <v>0</v>
      </c>
    </row>
    <row r="33" spans="3:7" ht="15.75" thickBot="1">
      <c r="C33" s="11" t="s">
        <v>15</v>
      </c>
      <c r="D33" s="11"/>
      <c r="E33" s="12">
        <f>SUM(E31:E32)</f>
        <v>0</v>
      </c>
      <c r="F33" s="20"/>
      <c r="G33" s="52">
        <f>SUM(G30:G32)</f>
        <v>0</v>
      </c>
    </row>
    <row r="34" spans="3:7" ht="15">
      <c r="C34" s="27" t="s">
        <v>79</v>
      </c>
      <c r="E34" s="1"/>
      <c r="F34" s="13"/>
      <c r="G34" s="8"/>
    </row>
    <row r="35" spans="3:7" ht="15.75" thickBot="1">
      <c r="C35" s="6" t="s">
        <v>16</v>
      </c>
      <c r="D35" s="6"/>
      <c r="E35" s="10">
        <f>SUM(E30:E32)</f>
        <v>0</v>
      </c>
      <c r="F35" s="17">
        <f>G26</f>
        <v>0</v>
      </c>
      <c r="G35" s="53">
        <f>E35*F35</f>
        <v>0</v>
      </c>
    </row>
    <row r="36" ht="15"/>
    <row r="37" ht="15">
      <c r="B37" s="33" t="s">
        <v>21</v>
      </c>
    </row>
    <row r="38" ht="15.75" thickBot="1"/>
    <row r="39" spans="2:7" ht="15">
      <c r="B39" s="4" t="s">
        <v>0</v>
      </c>
      <c r="C39" s="57" t="s">
        <v>0</v>
      </c>
      <c r="D39" s="57" t="s">
        <v>6</v>
      </c>
      <c r="E39" s="57" t="s">
        <v>20</v>
      </c>
      <c r="F39" s="57" t="s">
        <v>22</v>
      </c>
      <c r="G39" s="57" t="s">
        <v>23</v>
      </c>
    </row>
    <row r="40" spans="2:7" ht="15.75" thickBot="1">
      <c r="B40" s="6" t="s">
        <v>7</v>
      </c>
      <c r="C40" s="7" t="s">
        <v>24</v>
      </c>
      <c r="D40" s="7" t="s">
        <v>74</v>
      </c>
      <c r="E40" s="7" t="s">
        <v>25</v>
      </c>
      <c r="F40" s="7" t="s">
        <v>26</v>
      </c>
      <c r="G40" s="7" t="s">
        <v>27</v>
      </c>
    </row>
    <row r="41" spans="2:7" s="64" customFormat="1" ht="15">
      <c r="B41" s="27" t="s">
        <v>14</v>
      </c>
      <c r="C41" s="29"/>
      <c r="D41" s="95">
        <v>0</v>
      </c>
      <c r="E41" s="29" t="s">
        <v>455</v>
      </c>
      <c r="F41" s="112">
        <v>45</v>
      </c>
      <c r="G41" s="8">
        <f aca="true" t="shared" si="1" ref="G41:G46">D41*F41</f>
        <v>0</v>
      </c>
    </row>
    <row r="42" spans="2:7" ht="15">
      <c r="B42" s="27" t="s">
        <v>1</v>
      </c>
      <c r="C42" s="29"/>
      <c r="D42" s="95">
        <v>0</v>
      </c>
      <c r="E42" s="95" t="s">
        <v>455</v>
      </c>
      <c r="F42" s="112">
        <v>45</v>
      </c>
      <c r="G42" s="8">
        <f t="shared" si="1"/>
        <v>0</v>
      </c>
    </row>
    <row r="43" spans="2:7" ht="15">
      <c r="B43" s="55" t="s">
        <v>1</v>
      </c>
      <c r="C43" s="3">
        <f>IF(C9=0,0,F9/C9)</f>
        <v>0</v>
      </c>
      <c r="D43" s="95">
        <v>0</v>
      </c>
      <c r="E43" s="79" t="s">
        <v>28</v>
      </c>
      <c r="F43" s="112">
        <v>90</v>
      </c>
      <c r="G43" s="8">
        <f t="shared" si="1"/>
        <v>0</v>
      </c>
    </row>
    <row r="44" spans="2:7" ht="15">
      <c r="B44" s="55" t="s">
        <v>2</v>
      </c>
      <c r="C44" s="3"/>
      <c r="D44" s="95">
        <v>0</v>
      </c>
      <c r="E44" s="79" t="s">
        <v>28</v>
      </c>
      <c r="F44" s="112">
        <v>90</v>
      </c>
      <c r="G44" s="8">
        <f t="shared" si="1"/>
        <v>0</v>
      </c>
    </row>
    <row r="45" spans="2:7" ht="15">
      <c r="B45" s="55" t="s">
        <v>2</v>
      </c>
      <c r="C45" s="106"/>
      <c r="D45" s="95">
        <v>0</v>
      </c>
      <c r="E45" s="95" t="s">
        <v>29</v>
      </c>
      <c r="F45" s="113">
        <v>110</v>
      </c>
      <c r="G45" s="8">
        <f t="shared" si="1"/>
        <v>0</v>
      </c>
    </row>
    <row r="46" spans="2:7" ht="15">
      <c r="B46" s="55" t="s">
        <v>2</v>
      </c>
      <c r="C46" s="3">
        <f>IF(C9=0,0,F10/C9)</f>
        <v>0</v>
      </c>
      <c r="D46" s="95">
        <v>0</v>
      </c>
      <c r="E46" s="79" t="s">
        <v>454</v>
      </c>
      <c r="F46" s="113">
        <v>0</v>
      </c>
      <c r="G46" s="8">
        <f t="shared" si="1"/>
        <v>0</v>
      </c>
    </row>
    <row r="47" spans="2:7" ht="15.75" thickBot="1">
      <c r="B47" s="6" t="s">
        <v>15</v>
      </c>
      <c r="C47" s="14">
        <f>C41+C43+C46</f>
        <v>0</v>
      </c>
      <c r="D47" s="10">
        <f>SUM(D41:D46)</f>
        <v>0</v>
      </c>
      <c r="E47" s="6"/>
      <c r="F47" s="9"/>
      <c r="G47" s="53">
        <f>SUM(G41:G46)</f>
        <v>0</v>
      </c>
    </row>
    <row r="49" spans="2:6" ht="15">
      <c r="B49" s="35" t="s">
        <v>87</v>
      </c>
      <c r="C49" s="35"/>
      <c r="D49" s="35"/>
      <c r="E49" s="35"/>
      <c r="F49" s="58"/>
    </row>
    <row r="50" ht="15.75" thickBot="1"/>
    <row r="51" spans="3:6" ht="15">
      <c r="C51" s="4"/>
      <c r="D51" s="170" t="s">
        <v>78</v>
      </c>
      <c r="E51" s="170"/>
      <c r="F51" s="170"/>
    </row>
    <row r="52" spans="3:6" ht="15.75" thickBot="1">
      <c r="C52" s="6"/>
      <c r="D52" s="7" t="s">
        <v>456</v>
      </c>
      <c r="E52" s="7" t="s">
        <v>31</v>
      </c>
      <c r="F52" s="7" t="s">
        <v>132</v>
      </c>
    </row>
    <row r="53" spans="3:6" ht="15">
      <c r="C53" s="58" t="s">
        <v>75</v>
      </c>
      <c r="D53" s="13">
        <f>G47</f>
        <v>0</v>
      </c>
      <c r="E53" s="13">
        <f>IF(C8=0,0,D53/C8)</f>
        <v>0</v>
      </c>
      <c r="F53" s="109">
        <f>IF(D47=0,0,D53/D47)</f>
        <v>0</v>
      </c>
    </row>
    <row r="54" spans="3:6" ht="15">
      <c r="C54" s="58" t="s">
        <v>77</v>
      </c>
      <c r="D54" s="46">
        <f>C25</f>
        <v>0</v>
      </c>
      <c r="E54" s="46">
        <f>IF(C8=0,0,D54/C8)</f>
        <v>0</v>
      </c>
      <c r="F54" s="110">
        <f>IF(D47=0,0,D54/D47)</f>
        <v>0</v>
      </c>
    </row>
    <row r="55" spans="3:6" ht="15.75" thickBot="1">
      <c r="C55" s="26" t="s">
        <v>76</v>
      </c>
      <c r="D55" s="48">
        <f>D53-D54</f>
        <v>0</v>
      </c>
      <c r="E55" s="48">
        <f>E53-E54</f>
        <v>0</v>
      </c>
      <c r="F55" s="111">
        <f>IF(D47=0,0,D55/D47)</f>
        <v>0</v>
      </c>
    </row>
  </sheetData>
  <sheetProtection password="96BD" sheet="1"/>
  <mergeCells count="4">
    <mergeCell ref="B1:G1"/>
    <mergeCell ref="B2:G2"/>
    <mergeCell ref="F17:G17"/>
    <mergeCell ref="D51:F51"/>
  </mergeCells>
  <printOptions/>
  <pageMargins left="0.7" right="0.7" top="0.75" bottom="0.75" header="0.3" footer="0.3"/>
  <pageSetup horizontalDpi="600" verticalDpi="600" orientation="portrait" scale="99" r:id="rId3"/>
  <ignoredErrors>
    <ignoredError sqref="D21:D23" formulaRange="1"/>
    <ignoredError sqref="C12" unlockedFormula="1"/>
    <ignoredError sqref="F35" evalError="1"/>
  </ignoredErrors>
  <legacyDrawing r:id="rId2"/>
</worksheet>
</file>

<file path=xl/worksheets/sheet7.xml><?xml version="1.0" encoding="utf-8"?>
<worksheet xmlns="http://schemas.openxmlformats.org/spreadsheetml/2006/main" xmlns:r="http://schemas.openxmlformats.org/officeDocument/2006/relationships">
  <sheetPr>
    <tabColor rgb="FF0070C0"/>
  </sheetPr>
  <dimension ref="A1:S103"/>
  <sheetViews>
    <sheetView zoomScale="85" zoomScaleNormal="85" zoomScalePageLayoutView="0" workbookViewId="0" topLeftCell="A61">
      <selection activeCell="F94" sqref="F94"/>
    </sheetView>
  </sheetViews>
  <sheetFormatPr defaultColWidth="9.140625" defaultRowHeight="15"/>
  <cols>
    <col min="1" max="1" width="36.8515625" style="66" bestFit="1" customWidth="1"/>
    <col min="2" max="2" width="28.57421875" style="66" customWidth="1"/>
    <col min="3" max="3" width="35.8515625" style="66" customWidth="1"/>
    <col min="4" max="4" width="35.140625" style="66" bestFit="1" customWidth="1"/>
    <col min="5" max="5" width="17.140625" style="66" customWidth="1"/>
    <col min="6" max="6" width="13.57421875" style="66" customWidth="1"/>
    <col min="7" max="7" width="11.00390625" style="66" bestFit="1" customWidth="1"/>
    <col min="8" max="8" width="15.00390625" style="66" customWidth="1"/>
    <col min="9" max="9" width="17.421875" style="66" customWidth="1"/>
    <col min="10" max="10" width="18.140625" style="66" customWidth="1"/>
    <col min="11" max="11" width="11.28125" style="66" customWidth="1"/>
    <col min="12" max="12" width="27.140625" style="66" bestFit="1" customWidth="1"/>
    <col min="13" max="13" width="7.28125" style="66" bestFit="1" customWidth="1"/>
    <col min="14" max="14" width="7.57421875" style="66" bestFit="1" customWidth="1"/>
    <col min="15" max="15" width="10.28125" style="66" bestFit="1" customWidth="1"/>
    <col min="16" max="16" width="6.28125" style="66" bestFit="1" customWidth="1"/>
    <col min="17" max="17" width="9.57421875" style="66" bestFit="1" customWidth="1"/>
    <col min="18" max="16384" width="9.140625" style="66" customWidth="1"/>
  </cols>
  <sheetData>
    <row r="1" ht="15">
      <c r="A1" s="75" t="s">
        <v>463</v>
      </c>
    </row>
    <row r="2" spans="1:17" ht="15">
      <c r="A2" s="66" t="s">
        <v>464</v>
      </c>
      <c r="B2" s="66">
        <v>20</v>
      </c>
      <c r="L2" s="80"/>
      <c r="M2" s="80"/>
      <c r="N2" s="80"/>
      <c r="O2" s="80"/>
      <c r="P2" s="80"/>
      <c r="Q2" s="80"/>
    </row>
    <row r="3" spans="1:11" ht="18.75">
      <c r="A3" s="66" t="s">
        <v>220</v>
      </c>
      <c r="B3" s="66">
        <v>500</v>
      </c>
      <c r="C3" s="103"/>
      <c r="D3" s="103"/>
      <c r="E3" s="173" t="s">
        <v>221</v>
      </c>
      <c r="F3" s="173"/>
      <c r="G3" s="173"/>
      <c r="H3" s="173"/>
      <c r="I3" s="173"/>
      <c r="J3" s="173"/>
      <c r="K3" s="173"/>
    </row>
    <row r="4" spans="1:11" ht="21">
      <c r="A4" s="66" t="s">
        <v>218</v>
      </c>
      <c r="B4" s="67">
        <f>B2*B3</f>
        <v>10000</v>
      </c>
      <c r="C4" s="122" t="s">
        <v>216</v>
      </c>
      <c r="D4" s="123"/>
      <c r="E4" s="174" t="s">
        <v>219</v>
      </c>
      <c r="F4" s="174"/>
      <c r="G4" s="174"/>
      <c r="H4" s="174"/>
      <c r="I4" s="174"/>
      <c r="J4" s="174"/>
      <c r="K4" s="174"/>
    </row>
    <row r="5" spans="3:11" ht="15">
      <c r="C5" s="124" t="s">
        <v>217</v>
      </c>
      <c r="D5" s="124" t="s">
        <v>206</v>
      </c>
      <c r="E5" s="125" t="s">
        <v>215</v>
      </c>
      <c r="F5" s="125" t="s">
        <v>214</v>
      </c>
      <c r="G5" s="125" t="s">
        <v>213</v>
      </c>
      <c r="H5" s="125" t="s">
        <v>212</v>
      </c>
      <c r="I5" s="125" t="s">
        <v>211</v>
      </c>
      <c r="J5" s="125" t="s">
        <v>210</v>
      </c>
      <c r="K5" s="125" t="s">
        <v>209</v>
      </c>
    </row>
    <row r="6" spans="3:17" ht="15">
      <c r="C6" s="66" t="s">
        <v>215</v>
      </c>
      <c r="D6" s="78">
        <v>0</v>
      </c>
      <c r="E6" s="77">
        <f>CONVERT($D6,"oz","oz")</f>
        <v>0</v>
      </c>
      <c r="F6" s="77">
        <f>CONVERT($D6,"oz","tsp")</f>
        <v>0</v>
      </c>
      <c r="G6" s="77">
        <f>CONVERT($D6,"oz","tbs")</f>
        <v>0</v>
      </c>
      <c r="H6" s="77">
        <f>CONVERT($D6,"oz","us_pt")</f>
        <v>0</v>
      </c>
      <c r="I6" s="77">
        <f>CONVERT($D6,"oz","qt")</f>
        <v>0</v>
      </c>
      <c r="J6" s="77">
        <f>CONVERT($D6,"oz","gal")</f>
        <v>0</v>
      </c>
      <c r="K6" s="77">
        <f>CONVERT($D6,"oz","l")</f>
        <v>0</v>
      </c>
      <c r="M6" s="118"/>
      <c r="N6" s="118"/>
      <c r="O6" s="118"/>
      <c r="P6" s="118"/>
      <c r="Q6" s="118"/>
    </row>
    <row r="7" spans="3:17" ht="15">
      <c r="C7" s="66" t="s">
        <v>214</v>
      </c>
      <c r="D7" s="78">
        <v>21</v>
      </c>
      <c r="E7" s="77">
        <f>CONVERT($D7,"tsp","oz")</f>
        <v>3.5</v>
      </c>
      <c r="F7" s="77">
        <f>CONVERT($D7,"tsp","tsp")</f>
        <v>21</v>
      </c>
      <c r="G7" s="77">
        <f>CONVERT($D7,"tsp","tbs")</f>
        <v>7</v>
      </c>
      <c r="H7" s="77">
        <f>CONVERT($D7,"tsp","us_pt")</f>
        <v>0.21875</v>
      </c>
      <c r="I7" s="77">
        <f>CONVERT($D7,"tsp","qt")</f>
        <v>0.109375</v>
      </c>
      <c r="J7" s="77">
        <f>CONVERT($D7,"tsp","gal")</f>
        <v>0.02734375</v>
      </c>
      <c r="K7" s="77">
        <f>CONVERT($D7,"tsp","l")</f>
        <v>0.10350735346875</v>
      </c>
      <c r="M7" s="118"/>
      <c r="N7" s="118"/>
      <c r="O7" s="118"/>
      <c r="P7" s="118"/>
      <c r="Q7" s="118"/>
    </row>
    <row r="8" spans="3:17" ht="15">
      <c r="C8" s="66" t="s">
        <v>213</v>
      </c>
      <c r="D8" s="78">
        <v>0</v>
      </c>
      <c r="E8" s="77">
        <f>CONVERT($D8,"tbs","oz")</f>
        <v>0</v>
      </c>
      <c r="F8" s="77">
        <f>CONVERT($D8,"tbs","tsp")</f>
        <v>0</v>
      </c>
      <c r="G8" s="77">
        <f>CONVERT($D8,"tbs","tbs")</f>
        <v>0</v>
      </c>
      <c r="H8" s="77">
        <f>CONVERT($D8,"tbs","us_pt")</f>
        <v>0</v>
      </c>
      <c r="I8" s="77">
        <f>CONVERT($D8,"tbs","qt")</f>
        <v>0</v>
      </c>
      <c r="J8" s="77">
        <f>CONVERT($D8,"tbs","gal")</f>
        <v>0</v>
      </c>
      <c r="K8" s="77">
        <f>CONVERT($D8,"tbs","l")</f>
        <v>0</v>
      </c>
      <c r="M8" s="118"/>
      <c r="N8" s="118"/>
      <c r="O8" s="118"/>
      <c r="P8" s="118"/>
      <c r="Q8" s="118"/>
    </row>
    <row r="9" spans="3:17" ht="15">
      <c r="C9" s="66" t="s">
        <v>212</v>
      </c>
      <c r="D9" s="78">
        <v>0</v>
      </c>
      <c r="E9" s="77">
        <f>CONVERT($D9,"us_pt","oz")</f>
        <v>0</v>
      </c>
      <c r="F9" s="77">
        <f>CONVERT($D9,"us_pt","tsp")</f>
        <v>0</v>
      </c>
      <c r="G9" s="77">
        <f>CONVERT($D9,"us_pt","tbs")</f>
        <v>0</v>
      </c>
      <c r="H9" s="77">
        <f>CONVERT($D9,"us_pt","us_pt")</f>
        <v>0</v>
      </c>
      <c r="I9" s="77">
        <f>CONVERT($D9,"us_pt","qt")</f>
        <v>0</v>
      </c>
      <c r="J9" s="77">
        <f>CONVERT($D9,"us_pt","gal")</f>
        <v>0</v>
      </c>
      <c r="K9" s="77">
        <f>CONVERT($D9,"us_pt","l")</f>
        <v>0</v>
      </c>
      <c r="M9" s="118"/>
      <c r="N9" s="118"/>
      <c r="O9" s="118"/>
      <c r="P9" s="118"/>
      <c r="Q9" s="118"/>
    </row>
    <row r="10" spans="3:17" ht="15">
      <c r="C10" s="66" t="s">
        <v>211</v>
      </c>
      <c r="D10" s="78">
        <v>0</v>
      </c>
      <c r="E10" s="77">
        <f>CONVERT($D10,"qt","oz")</f>
        <v>0</v>
      </c>
      <c r="F10" s="77">
        <f>CONVERT($D10,"qt","tsp")</f>
        <v>0</v>
      </c>
      <c r="G10" s="77">
        <f>CONVERT($D10,"qt","tbs")</f>
        <v>0</v>
      </c>
      <c r="H10" s="77">
        <f>CONVERT($D10,"qt","us_pt")</f>
        <v>0</v>
      </c>
      <c r="I10" s="77">
        <f>CONVERT($D10,"qt","qt")</f>
        <v>0</v>
      </c>
      <c r="J10" s="77">
        <f>CONVERT($D10,"qt","gal")</f>
        <v>0</v>
      </c>
      <c r="K10" s="77">
        <f>CONVERT($D10,"qt","l")</f>
        <v>0</v>
      </c>
      <c r="M10" s="118"/>
      <c r="N10" s="118"/>
      <c r="O10" s="118"/>
      <c r="P10" s="118"/>
      <c r="Q10" s="118"/>
    </row>
    <row r="11" spans="3:17" ht="15">
      <c r="C11" s="66" t="s">
        <v>210</v>
      </c>
      <c r="D11" s="78">
        <v>0</v>
      </c>
      <c r="E11" s="77">
        <f>CONVERT($D11,"gal","oz")</f>
        <v>0</v>
      </c>
      <c r="F11" s="77">
        <f>CONVERT($D11,"gal","tsp")</f>
        <v>0</v>
      </c>
      <c r="G11" s="77">
        <f>CONVERT($D11,"gal","tbs")</f>
        <v>0</v>
      </c>
      <c r="H11" s="77">
        <f>CONVERT($D11,"gal","us_pt")</f>
        <v>0</v>
      </c>
      <c r="I11" s="77">
        <f>CONVERT($D11,"gal","qt")</f>
        <v>0</v>
      </c>
      <c r="J11" s="77">
        <f>CONVERT($D11,"gal","gal")</f>
        <v>0</v>
      </c>
      <c r="K11" s="77">
        <f>CONVERT($D11,"gal","l")</f>
        <v>0</v>
      </c>
      <c r="M11" s="118"/>
      <c r="N11" s="118"/>
      <c r="O11" s="118"/>
      <c r="P11" s="118"/>
      <c r="Q11" s="118"/>
    </row>
    <row r="12" spans="3:17" ht="15.75" thickBot="1">
      <c r="C12" s="126" t="s">
        <v>209</v>
      </c>
      <c r="D12" s="127">
        <v>0</v>
      </c>
      <c r="E12" s="128">
        <f>CONVERT($D12,"l","oz")</f>
        <v>0</v>
      </c>
      <c r="F12" s="128">
        <f>CONVERT($D12,"l","tsp")</f>
        <v>0</v>
      </c>
      <c r="G12" s="128">
        <f>CONVERT($D12,"l","tbs")</f>
        <v>0</v>
      </c>
      <c r="H12" s="128">
        <f>CONVERT($D12,"l","us_pt")</f>
        <v>0</v>
      </c>
      <c r="I12" s="128">
        <f>CONVERT($D12,"l","qt")</f>
        <v>0</v>
      </c>
      <c r="J12" s="128">
        <f>CONVERT($D12,"l","gal")</f>
        <v>0</v>
      </c>
      <c r="K12" s="128">
        <f>CONVERT($D12,"l","l")</f>
        <v>0</v>
      </c>
      <c r="M12" s="118"/>
      <c r="N12" s="118"/>
      <c r="O12" s="118"/>
      <c r="P12" s="118"/>
      <c r="Q12" s="118"/>
    </row>
    <row r="13" spans="3:17" ht="15">
      <c r="C13" s="66" t="s">
        <v>202</v>
      </c>
      <c r="D13" s="76"/>
      <c r="E13" s="77">
        <f aca="true" t="shared" si="0" ref="E13:K13">SUM(E6:E12)</f>
        <v>3.5</v>
      </c>
      <c r="F13" s="77">
        <f t="shared" si="0"/>
        <v>21</v>
      </c>
      <c r="G13" s="77">
        <f t="shared" si="0"/>
        <v>7</v>
      </c>
      <c r="H13" s="77">
        <f t="shared" si="0"/>
        <v>0.21875</v>
      </c>
      <c r="I13" s="77">
        <f t="shared" si="0"/>
        <v>0.109375</v>
      </c>
      <c r="J13" s="77">
        <f t="shared" si="0"/>
        <v>0.02734375</v>
      </c>
      <c r="K13" s="77">
        <f t="shared" si="0"/>
        <v>0.10350735346875</v>
      </c>
      <c r="M13" s="118"/>
      <c r="N13" s="118"/>
      <c r="O13" s="118"/>
      <c r="P13" s="118"/>
      <c r="Q13" s="118"/>
    </row>
    <row r="14" spans="4:17" ht="15">
      <c r="D14" s="76"/>
      <c r="E14" s="77"/>
      <c r="F14" s="77"/>
      <c r="G14" s="77"/>
      <c r="H14" s="77"/>
      <c r="I14" s="77"/>
      <c r="J14" s="77"/>
      <c r="K14" s="77"/>
      <c r="M14" s="118"/>
      <c r="N14" s="118"/>
      <c r="O14" s="118"/>
      <c r="P14" s="118"/>
      <c r="Q14" s="118"/>
    </row>
    <row r="15" spans="3:17" ht="15">
      <c r="C15" s="129"/>
      <c r="D15" s="129"/>
      <c r="E15" s="175" t="s">
        <v>208</v>
      </c>
      <c r="F15" s="175"/>
      <c r="G15" s="175"/>
      <c r="H15" s="80"/>
      <c r="I15" s="80"/>
      <c r="J15" s="76"/>
      <c r="K15" s="76"/>
      <c r="M15" s="118"/>
      <c r="N15" s="118"/>
      <c r="O15" s="118"/>
      <c r="P15" s="118"/>
      <c r="Q15" s="118"/>
    </row>
    <row r="16" spans="3:17" ht="21">
      <c r="C16" s="130" t="s">
        <v>207</v>
      </c>
      <c r="D16" s="125" t="s">
        <v>206</v>
      </c>
      <c r="E16" s="125" t="s">
        <v>205</v>
      </c>
      <c r="F16" s="125" t="s">
        <v>204</v>
      </c>
      <c r="G16" s="125" t="s">
        <v>203</v>
      </c>
      <c r="J16" s="76"/>
      <c r="K16" s="76"/>
      <c r="M16" s="118"/>
      <c r="N16" s="118"/>
      <c r="O16" s="118"/>
      <c r="P16" s="118"/>
      <c r="Q16" s="118"/>
    </row>
    <row r="17" spans="3:11" ht="15">
      <c r="C17" s="66" t="s">
        <v>205</v>
      </c>
      <c r="D17" s="78">
        <v>0</v>
      </c>
      <c r="E17" s="77">
        <f>CONVERT($D17,"ozm","ozm")</f>
        <v>0</v>
      </c>
      <c r="F17" s="77">
        <f>CONVERT($D17,"ozm","lbm")</f>
        <v>0</v>
      </c>
      <c r="G17" s="77">
        <f>CONVERT($D17,"ozm","g")</f>
        <v>0</v>
      </c>
      <c r="J17" s="76"/>
      <c r="K17" s="76"/>
    </row>
    <row r="18" spans="3:11" ht="15">
      <c r="C18" s="66" t="s">
        <v>204</v>
      </c>
      <c r="D18" s="78">
        <v>0</v>
      </c>
      <c r="E18" s="77">
        <f>CONVERT($D18,"lbm","ozm")</f>
        <v>0</v>
      </c>
      <c r="F18" s="77">
        <f>CONVERT($D18,"lbm","lbm")</f>
        <v>0</v>
      </c>
      <c r="G18" s="77">
        <f>CONVERT($D18,"lbm","g")</f>
        <v>0</v>
      </c>
      <c r="J18" s="76"/>
      <c r="K18" s="76"/>
    </row>
    <row r="19" spans="3:11" ht="15.75" thickBot="1">
      <c r="C19" s="126" t="s">
        <v>203</v>
      </c>
      <c r="D19" s="127">
        <v>0</v>
      </c>
      <c r="E19" s="128">
        <f>CONVERT($D19,"g","ozm")</f>
        <v>0</v>
      </c>
      <c r="F19" s="128">
        <f>CONVERT($D19,"g","lbm")</f>
        <v>0</v>
      </c>
      <c r="G19" s="128">
        <f>CONVERT($D19,"g","g")</f>
        <v>0</v>
      </c>
      <c r="J19" s="76"/>
      <c r="K19" s="76"/>
    </row>
    <row r="20" spans="3:11" ht="15">
      <c r="C20" s="66" t="s">
        <v>202</v>
      </c>
      <c r="D20" s="76"/>
      <c r="E20" s="77">
        <f>SUM(E17:E19)</f>
        <v>0</v>
      </c>
      <c r="F20" s="77">
        <f>SUM(F17:F19)</f>
        <v>0</v>
      </c>
      <c r="G20" s="77">
        <f>SUM(G17:G19)</f>
        <v>0</v>
      </c>
      <c r="J20" s="76"/>
      <c r="K20" s="76"/>
    </row>
    <row r="23" spans="4:10" ht="15">
      <c r="D23" s="131" t="s">
        <v>201</v>
      </c>
      <c r="E23" s="131" t="s">
        <v>200</v>
      </c>
      <c r="F23" s="131" t="s">
        <v>199</v>
      </c>
      <c r="G23" s="131" t="s">
        <v>198</v>
      </c>
      <c r="H23" s="131" t="s">
        <v>197</v>
      </c>
      <c r="I23" s="131" t="s">
        <v>196</v>
      </c>
      <c r="J23" s="131" t="s">
        <v>195</v>
      </c>
    </row>
    <row r="24" spans="4:10" ht="15">
      <c r="D24" s="119" t="s">
        <v>193</v>
      </c>
      <c r="E24" s="119" t="s">
        <v>192</v>
      </c>
      <c r="F24" s="119" t="s">
        <v>191</v>
      </c>
      <c r="G24" s="119" t="s">
        <v>190</v>
      </c>
      <c r="H24" s="119" t="s">
        <v>189</v>
      </c>
      <c r="I24" s="119" t="s">
        <v>188</v>
      </c>
      <c r="J24" s="119" t="s">
        <v>187</v>
      </c>
    </row>
    <row r="25" spans="4:10" ht="15">
      <c r="D25" s="119" t="s">
        <v>186</v>
      </c>
      <c r="E25" s="75"/>
      <c r="F25" s="75" t="s">
        <v>185</v>
      </c>
      <c r="G25" s="75"/>
      <c r="H25" s="75"/>
      <c r="I25" s="75"/>
      <c r="J25" s="75"/>
    </row>
    <row r="26" spans="1:10" ht="15">
      <c r="A26" s="123" t="s">
        <v>184</v>
      </c>
      <c r="B26" s="125" t="s">
        <v>465</v>
      </c>
      <c r="C26" s="124" t="s">
        <v>194</v>
      </c>
      <c r="D26" s="125" t="s">
        <v>183</v>
      </c>
      <c r="E26" s="124"/>
      <c r="F26" s="124" t="s">
        <v>182</v>
      </c>
      <c r="G26" s="124"/>
      <c r="H26" s="124"/>
      <c r="I26" s="124"/>
      <c r="J26" s="124"/>
    </row>
    <row r="27" spans="1:19" ht="15">
      <c r="A27" s="82" t="s">
        <v>181</v>
      </c>
      <c r="B27" s="82"/>
      <c r="C27" s="83">
        <v>120</v>
      </c>
      <c r="D27" s="83">
        <v>32</v>
      </c>
      <c r="E27" s="74">
        <v>3.75</v>
      </c>
      <c r="F27" s="83">
        <v>10</v>
      </c>
      <c r="G27" s="83">
        <v>3</v>
      </c>
      <c r="H27" s="74">
        <v>112.5</v>
      </c>
      <c r="I27" s="74">
        <v>2250</v>
      </c>
      <c r="J27" s="74">
        <v>0.225</v>
      </c>
      <c r="L27" s="119"/>
      <c r="M27" s="119"/>
      <c r="N27" s="74"/>
      <c r="O27" s="119"/>
      <c r="P27" s="119"/>
      <c r="Q27" s="74"/>
      <c r="R27" s="74"/>
      <c r="S27" s="74"/>
    </row>
    <row r="28" spans="1:10" s="118" customFormat="1" ht="15">
      <c r="A28" s="120" t="s">
        <v>180</v>
      </c>
      <c r="B28" s="68">
        <v>6</v>
      </c>
      <c r="D28" s="68"/>
      <c r="E28" s="73">
        <f>IF(D28=0,0,C28/D28)</f>
        <v>0</v>
      </c>
      <c r="F28" s="68"/>
      <c r="G28" s="68"/>
      <c r="H28" s="73">
        <f aca="true" t="shared" si="1" ref="H28:H72">E28*F28*G28</f>
        <v>0</v>
      </c>
      <c r="I28" s="73">
        <f aca="true" t="shared" si="2" ref="I28:I72">H28*$B$2</f>
        <v>0</v>
      </c>
      <c r="J28" s="73">
        <f aca="true" t="shared" si="3" ref="J28:J49">I28/$B$4</f>
        <v>0</v>
      </c>
    </row>
    <row r="29" spans="1:10" s="118" customFormat="1" ht="15">
      <c r="A29" s="120" t="s">
        <v>179</v>
      </c>
      <c r="B29" s="68" t="s">
        <v>466</v>
      </c>
      <c r="D29" s="68"/>
      <c r="E29" s="73">
        <f aca="true" t="shared" si="4" ref="E29:E77">IF(D29=0,0,C29/D29)</f>
        <v>0</v>
      </c>
      <c r="F29" s="68"/>
      <c r="G29" s="68"/>
      <c r="H29" s="73">
        <f t="shared" si="1"/>
        <v>0</v>
      </c>
      <c r="I29" s="73">
        <f t="shared" si="2"/>
        <v>0</v>
      </c>
      <c r="J29" s="73">
        <f t="shared" si="3"/>
        <v>0</v>
      </c>
    </row>
    <row r="30" spans="1:10" s="118" customFormat="1" ht="15">
      <c r="A30" s="120" t="s">
        <v>178</v>
      </c>
      <c r="B30" s="68" t="s">
        <v>467</v>
      </c>
      <c r="D30" s="68"/>
      <c r="E30" s="73">
        <f t="shared" si="4"/>
        <v>0</v>
      </c>
      <c r="F30" s="68"/>
      <c r="G30" s="68"/>
      <c r="H30" s="73">
        <f t="shared" si="1"/>
        <v>0</v>
      </c>
      <c r="I30" s="73">
        <f t="shared" si="2"/>
        <v>0</v>
      </c>
      <c r="J30" s="73">
        <f t="shared" si="3"/>
        <v>0</v>
      </c>
    </row>
    <row r="31" spans="1:10" s="118" customFormat="1" ht="15">
      <c r="A31" s="120" t="s">
        <v>177</v>
      </c>
      <c r="B31" s="68" t="s">
        <v>468</v>
      </c>
      <c r="D31" s="68"/>
      <c r="E31" s="73">
        <f t="shared" si="4"/>
        <v>0</v>
      </c>
      <c r="F31" s="68"/>
      <c r="G31" s="68"/>
      <c r="H31" s="73">
        <f t="shared" si="1"/>
        <v>0</v>
      </c>
      <c r="I31" s="73">
        <f t="shared" si="2"/>
        <v>0</v>
      </c>
      <c r="J31" s="73">
        <f t="shared" si="3"/>
        <v>0</v>
      </c>
    </row>
    <row r="32" spans="1:10" s="118" customFormat="1" ht="15">
      <c r="A32" s="120" t="s">
        <v>176</v>
      </c>
      <c r="B32" s="68" t="s">
        <v>469</v>
      </c>
      <c r="D32" s="68"/>
      <c r="E32" s="73">
        <f t="shared" si="4"/>
        <v>0</v>
      </c>
      <c r="F32" s="68"/>
      <c r="G32" s="68"/>
      <c r="H32" s="73">
        <f t="shared" si="1"/>
        <v>0</v>
      </c>
      <c r="I32" s="73">
        <f t="shared" si="2"/>
        <v>0</v>
      </c>
      <c r="J32" s="73">
        <f t="shared" si="3"/>
        <v>0</v>
      </c>
    </row>
    <row r="33" spans="1:10" s="118" customFormat="1" ht="15">
      <c r="A33" s="120" t="s">
        <v>175</v>
      </c>
      <c r="B33" s="68" t="s">
        <v>470</v>
      </c>
      <c r="D33" s="68"/>
      <c r="E33" s="73">
        <f t="shared" si="4"/>
        <v>0</v>
      </c>
      <c r="F33" s="68"/>
      <c r="G33" s="68"/>
      <c r="H33" s="73">
        <f t="shared" si="1"/>
        <v>0</v>
      </c>
      <c r="I33" s="73">
        <f t="shared" si="2"/>
        <v>0</v>
      </c>
      <c r="J33" s="73">
        <f t="shared" si="3"/>
        <v>0</v>
      </c>
    </row>
    <row r="34" spans="1:10" s="118" customFormat="1" ht="15">
      <c r="A34" s="132" t="s">
        <v>471</v>
      </c>
      <c r="B34" s="132" t="s">
        <v>472</v>
      </c>
      <c r="D34" s="68"/>
      <c r="E34" s="73">
        <f t="shared" si="4"/>
        <v>0</v>
      </c>
      <c r="F34" s="68"/>
      <c r="G34" s="68"/>
      <c r="H34" s="73">
        <f t="shared" si="1"/>
        <v>0</v>
      </c>
      <c r="I34" s="73">
        <f t="shared" si="2"/>
        <v>0</v>
      </c>
      <c r="J34" s="73">
        <f t="shared" si="3"/>
        <v>0</v>
      </c>
    </row>
    <row r="35" spans="1:10" s="118" customFormat="1" ht="15">
      <c r="A35" s="120" t="s">
        <v>174</v>
      </c>
      <c r="B35" s="68">
        <v>25</v>
      </c>
      <c r="D35" s="68"/>
      <c r="E35" s="73">
        <f t="shared" si="4"/>
        <v>0</v>
      </c>
      <c r="F35" s="68"/>
      <c r="G35" s="68"/>
      <c r="H35" s="73">
        <f t="shared" si="1"/>
        <v>0</v>
      </c>
      <c r="I35" s="73">
        <f t="shared" si="2"/>
        <v>0</v>
      </c>
      <c r="J35" s="73">
        <f t="shared" si="3"/>
        <v>0</v>
      </c>
    </row>
    <row r="36" spans="1:10" s="118" customFormat="1" ht="15">
      <c r="A36" s="120" t="s">
        <v>173</v>
      </c>
      <c r="B36" s="68">
        <v>3</v>
      </c>
      <c r="D36" s="68"/>
      <c r="E36" s="73">
        <f t="shared" si="4"/>
        <v>0</v>
      </c>
      <c r="F36" s="68"/>
      <c r="G36" s="68"/>
      <c r="H36" s="73">
        <f t="shared" si="1"/>
        <v>0</v>
      </c>
      <c r="I36" s="73">
        <f t="shared" si="2"/>
        <v>0</v>
      </c>
      <c r="J36" s="73">
        <f t="shared" si="3"/>
        <v>0</v>
      </c>
    </row>
    <row r="37" spans="1:10" s="118" customFormat="1" ht="15">
      <c r="A37" s="120" t="s">
        <v>172</v>
      </c>
      <c r="B37" s="68">
        <v>16</v>
      </c>
      <c r="D37" s="68"/>
      <c r="E37" s="73">
        <f t="shared" si="4"/>
        <v>0</v>
      </c>
      <c r="F37" s="68"/>
      <c r="G37" s="68"/>
      <c r="H37" s="73">
        <f t="shared" si="1"/>
        <v>0</v>
      </c>
      <c r="I37" s="73">
        <f t="shared" si="2"/>
        <v>0</v>
      </c>
      <c r="J37" s="73">
        <f t="shared" si="3"/>
        <v>0</v>
      </c>
    </row>
    <row r="38" spans="1:10" s="118" customFormat="1" ht="15">
      <c r="A38" s="120" t="s">
        <v>171</v>
      </c>
      <c r="B38" s="68" t="s">
        <v>473</v>
      </c>
      <c r="D38" s="68"/>
      <c r="E38" s="73">
        <f t="shared" si="4"/>
        <v>0</v>
      </c>
      <c r="F38" s="68"/>
      <c r="G38" s="68"/>
      <c r="H38" s="73">
        <f t="shared" si="1"/>
        <v>0</v>
      </c>
      <c r="I38" s="73">
        <f t="shared" si="2"/>
        <v>0</v>
      </c>
      <c r="J38" s="73">
        <f t="shared" si="3"/>
        <v>0</v>
      </c>
    </row>
    <row r="39" spans="1:10" s="118" customFormat="1" ht="15">
      <c r="A39" s="120" t="s">
        <v>170</v>
      </c>
      <c r="B39" s="68">
        <v>12</v>
      </c>
      <c r="D39" s="68"/>
      <c r="E39" s="73">
        <f t="shared" si="4"/>
        <v>0</v>
      </c>
      <c r="F39" s="68"/>
      <c r="G39" s="68"/>
      <c r="H39" s="73">
        <f t="shared" si="1"/>
        <v>0</v>
      </c>
      <c r="I39" s="73">
        <f t="shared" si="2"/>
        <v>0</v>
      </c>
      <c r="J39" s="73">
        <f t="shared" si="3"/>
        <v>0</v>
      </c>
    </row>
    <row r="40" spans="1:10" s="118" customFormat="1" ht="15">
      <c r="A40" s="120" t="s">
        <v>169</v>
      </c>
      <c r="B40" s="68" t="s">
        <v>466</v>
      </c>
      <c r="D40" s="68"/>
      <c r="E40" s="73">
        <f t="shared" si="4"/>
        <v>0</v>
      </c>
      <c r="F40" s="68"/>
      <c r="G40" s="68"/>
      <c r="H40" s="73">
        <f t="shared" si="1"/>
        <v>0</v>
      </c>
      <c r="I40" s="73">
        <f t="shared" si="2"/>
        <v>0</v>
      </c>
      <c r="J40" s="73">
        <f t="shared" si="3"/>
        <v>0</v>
      </c>
    </row>
    <row r="41" spans="1:10" s="118" customFormat="1" ht="15">
      <c r="A41" s="120" t="s">
        <v>168</v>
      </c>
      <c r="B41" s="68" t="s">
        <v>474</v>
      </c>
      <c r="D41" s="68"/>
      <c r="E41" s="73">
        <f t="shared" si="4"/>
        <v>0</v>
      </c>
      <c r="F41" s="68"/>
      <c r="G41" s="68"/>
      <c r="H41" s="73">
        <f t="shared" si="1"/>
        <v>0</v>
      </c>
      <c r="I41" s="73">
        <f t="shared" si="2"/>
        <v>0</v>
      </c>
      <c r="J41" s="73">
        <f t="shared" si="3"/>
        <v>0</v>
      </c>
    </row>
    <row r="42" spans="1:10" s="118" customFormat="1" ht="15">
      <c r="A42" s="132" t="s">
        <v>475</v>
      </c>
      <c r="B42" s="132" t="s">
        <v>468</v>
      </c>
      <c r="D42" s="68"/>
      <c r="E42" s="73">
        <f t="shared" si="4"/>
        <v>0</v>
      </c>
      <c r="F42" s="68"/>
      <c r="G42" s="68"/>
      <c r="H42" s="73">
        <f t="shared" si="1"/>
        <v>0</v>
      </c>
      <c r="I42" s="73">
        <f t="shared" si="2"/>
        <v>0</v>
      </c>
      <c r="J42" s="73">
        <f t="shared" si="3"/>
        <v>0</v>
      </c>
    </row>
    <row r="43" spans="1:10" s="118" customFormat="1" ht="15">
      <c r="A43" s="132" t="s">
        <v>476</v>
      </c>
      <c r="B43" s="132">
        <v>3</v>
      </c>
      <c r="D43" s="68"/>
      <c r="E43" s="73">
        <f t="shared" si="4"/>
        <v>0</v>
      </c>
      <c r="F43" s="68"/>
      <c r="G43" s="68"/>
      <c r="H43" s="73">
        <f t="shared" si="1"/>
        <v>0</v>
      </c>
      <c r="I43" s="73">
        <f t="shared" si="2"/>
        <v>0</v>
      </c>
      <c r="J43" s="73">
        <f t="shared" si="3"/>
        <v>0</v>
      </c>
    </row>
    <row r="44" spans="1:10" s="118" customFormat="1" ht="15">
      <c r="A44" s="132" t="s">
        <v>477</v>
      </c>
      <c r="B44" s="132">
        <v>17</v>
      </c>
      <c r="D44" s="68"/>
      <c r="E44" s="73">
        <f t="shared" si="4"/>
        <v>0</v>
      </c>
      <c r="F44" s="68"/>
      <c r="G44" s="68"/>
      <c r="H44" s="73">
        <f t="shared" si="1"/>
        <v>0</v>
      </c>
      <c r="I44" s="73">
        <f t="shared" si="2"/>
        <v>0</v>
      </c>
      <c r="J44" s="73">
        <f t="shared" si="3"/>
        <v>0</v>
      </c>
    </row>
    <row r="45" spans="1:10" s="118" customFormat="1" ht="15">
      <c r="A45" s="132" t="s">
        <v>478</v>
      </c>
      <c r="B45" s="132" t="s">
        <v>468</v>
      </c>
      <c r="D45" s="68"/>
      <c r="E45" s="73">
        <f t="shared" si="4"/>
        <v>0</v>
      </c>
      <c r="F45" s="68"/>
      <c r="G45" s="68"/>
      <c r="H45" s="73">
        <f t="shared" si="1"/>
        <v>0</v>
      </c>
      <c r="I45" s="73">
        <f t="shared" si="2"/>
        <v>0</v>
      </c>
      <c r="J45" s="73">
        <f t="shared" si="3"/>
        <v>0</v>
      </c>
    </row>
    <row r="46" spans="1:10" s="118" customFormat="1" ht="15">
      <c r="A46" s="120" t="s">
        <v>479</v>
      </c>
      <c r="B46" s="68">
        <v>15</v>
      </c>
      <c r="D46" s="68"/>
      <c r="E46" s="73">
        <f t="shared" si="4"/>
        <v>0</v>
      </c>
      <c r="F46" s="68"/>
      <c r="G46" s="68"/>
      <c r="H46" s="73">
        <f t="shared" si="1"/>
        <v>0</v>
      </c>
      <c r="I46" s="73">
        <f t="shared" si="2"/>
        <v>0</v>
      </c>
      <c r="J46" s="73">
        <f t="shared" si="3"/>
        <v>0</v>
      </c>
    </row>
    <row r="47" spans="1:10" s="118" customFormat="1" ht="15">
      <c r="A47" s="132" t="s">
        <v>480</v>
      </c>
      <c r="B47" s="132" t="s">
        <v>481</v>
      </c>
      <c r="D47" s="68"/>
      <c r="E47" s="73">
        <f t="shared" si="4"/>
        <v>0</v>
      </c>
      <c r="F47" s="68"/>
      <c r="G47" s="68"/>
      <c r="H47" s="73">
        <f t="shared" si="1"/>
        <v>0</v>
      </c>
      <c r="I47" s="73">
        <f t="shared" si="2"/>
        <v>0</v>
      </c>
      <c r="J47" s="73">
        <f t="shared" si="3"/>
        <v>0</v>
      </c>
    </row>
    <row r="48" spans="1:10" s="118" customFormat="1" ht="15">
      <c r="A48" s="132" t="s">
        <v>482</v>
      </c>
      <c r="B48" s="132">
        <v>3</v>
      </c>
      <c r="D48" s="68"/>
      <c r="E48" s="73">
        <f t="shared" si="4"/>
        <v>0</v>
      </c>
      <c r="F48" s="68"/>
      <c r="G48" s="68"/>
      <c r="H48" s="73">
        <f t="shared" si="1"/>
        <v>0</v>
      </c>
      <c r="I48" s="73">
        <f t="shared" si="2"/>
        <v>0</v>
      </c>
      <c r="J48" s="73">
        <f t="shared" si="3"/>
        <v>0</v>
      </c>
    </row>
    <row r="49" spans="1:10" s="118" customFormat="1" ht="15">
      <c r="A49" s="120" t="s">
        <v>167</v>
      </c>
      <c r="B49" s="68">
        <v>21</v>
      </c>
      <c r="D49" s="68"/>
      <c r="E49" s="73">
        <f t="shared" si="4"/>
        <v>0</v>
      </c>
      <c r="F49" s="68"/>
      <c r="G49" s="68"/>
      <c r="H49" s="73">
        <f t="shared" si="1"/>
        <v>0</v>
      </c>
      <c r="I49" s="73">
        <f t="shared" si="2"/>
        <v>0</v>
      </c>
      <c r="J49" s="73">
        <f t="shared" si="3"/>
        <v>0</v>
      </c>
    </row>
    <row r="50" spans="1:10" s="118" customFormat="1" ht="15">
      <c r="A50" s="120" t="s">
        <v>166</v>
      </c>
      <c r="B50" s="68" t="s">
        <v>474</v>
      </c>
      <c r="D50" s="68"/>
      <c r="E50" s="73">
        <f t="shared" si="4"/>
        <v>0</v>
      </c>
      <c r="F50" s="68"/>
      <c r="G50" s="68"/>
      <c r="H50" s="73">
        <f t="shared" si="1"/>
        <v>0</v>
      </c>
      <c r="I50" s="73">
        <f t="shared" si="2"/>
        <v>0</v>
      </c>
      <c r="J50" s="73">
        <v>0</v>
      </c>
    </row>
    <row r="51" spans="1:10" s="118" customFormat="1" ht="15">
      <c r="A51" s="120" t="s">
        <v>165</v>
      </c>
      <c r="B51" s="68"/>
      <c r="D51" s="68"/>
      <c r="E51" s="73">
        <f t="shared" si="4"/>
        <v>0</v>
      </c>
      <c r="F51" s="68"/>
      <c r="G51" s="68"/>
      <c r="H51" s="73">
        <f t="shared" si="1"/>
        <v>0</v>
      </c>
      <c r="I51" s="73">
        <f t="shared" si="2"/>
        <v>0</v>
      </c>
      <c r="J51" s="73">
        <f>I51/$B$4</f>
        <v>0</v>
      </c>
    </row>
    <row r="52" spans="1:10" s="118" customFormat="1" ht="15">
      <c r="A52" s="120" t="s">
        <v>164</v>
      </c>
      <c r="B52" s="68" t="s">
        <v>468</v>
      </c>
      <c r="D52" s="68"/>
      <c r="E52" s="73">
        <f t="shared" si="4"/>
        <v>0</v>
      </c>
      <c r="F52" s="68"/>
      <c r="G52" s="68"/>
      <c r="H52" s="73">
        <f t="shared" si="1"/>
        <v>0</v>
      </c>
      <c r="I52" s="73">
        <f t="shared" si="2"/>
        <v>0</v>
      </c>
      <c r="J52" s="73">
        <f>I52/$B$4</f>
        <v>0</v>
      </c>
    </row>
    <row r="53" spans="1:10" s="118" customFormat="1" ht="15">
      <c r="A53" s="120" t="s">
        <v>163</v>
      </c>
      <c r="B53" s="68" t="s">
        <v>472</v>
      </c>
      <c r="D53" s="68"/>
      <c r="E53" s="73">
        <f t="shared" si="4"/>
        <v>0</v>
      </c>
      <c r="F53" s="68"/>
      <c r="G53" s="68"/>
      <c r="H53" s="73">
        <f t="shared" si="1"/>
        <v>0</v>
      </c>
      <c r="I53" s="73">
        <f t="shared" si="2"/>
        <v>0</v>
      </c>
      <c r="J53" s="73">
        <f>I53/$B$4</f>
        <v>0</v>
      </c>
    </row>
    <row r="54" spans="1:10" s="118" customFormat="1" ht="15">
      <c r="A54" s="120" t="s">
        <v>162</v>
      </c>
      <c r="B54" s="68" t="s">
        <v>483</v>
      </c>
      <c r="D54" s="68"/>
      <c r="E54" s="73">
        <f t="shared" si="4"/>
        <v>0</v>
      </c>
      <c r="F54" s="68"/>
      <c r="G54" s="68"/>
      <c r="H54" s="73">
        <f t="shared" si="1"/>
        <v>0</v>
      </c>
      <c r="I54" s="73">
        <f t="shared" si="2"/>
        <v>0</v>
      </c>
      <c r="J54" s="73">
        <f>I54/$B$4</f>
        <v>0</v>
      </c>
    </row>
    <row r="55" spans="1:10" s="118" customFormat="1" ht="15">
      <c r="A55" s="120" t="s">
        <v>161</v>
      </c>
      <c r="B55" s="68">
        <v>3</v>
      </c>
      <c r="D55" s="68"/>
      <c r="E55" s="73">
        <f t="shared" si="4"/>
        <v>0</v>
      </c>
      <c r="F55" s="68"/>
      <c r="G55" s="68"/>
      <c r="H55" s="73">
        <f t="shared" si="1"/>
        <v>0</v>
      </c>
      <c r="I55" s="73">
        <f t="shared" si="2"/>
        <v>0</v>
      </c>
      <c r="J55" s="73">
        <f aca="true" t="shared" si="5" ref="J55:J72">I55/$B$4</f>
        <v>0</v>
      </c>
    </row>
    <row r="56" spans="1:10" s="118" customFormat="1" ht="15">
      <c r="A56" s="120" t="s">
        <v>160</v>
      </c>
      <c r="B56" s="68" t="s">
        <v>466</v>
      </c>
      <c r="D56" s="68"/>
      <c r="E56" s="73">
        <f t="shared" si="4"/>
        <v>0</v>
      </c>
      <c r="F56" s="68"/>
      <c r="G56" s="68"/>
      <c r="H56" s="73">
        <f t="shared" si="1"/>
        <v>0</v>
      </c>
      <c r="I56" s="73">
        <f t="shared" si="2"/>
        <v>0</v>
      </c>
      <c r="J56" s="73">
        <f t="shared" si="5"/>
        <v>0</v>
      </c>
    </row>
    <row r="57" spans="1:10" s="118" customFormat="1" ht="15">
      <c r="A57" s="132" t="s">
        <v>484</v>
      </c>
      <c r="B57" s="132" t="s">
        <v>472</v>
      </c>
      <c r="D57" s="68"/>
      <c r="E57" s="73">
        <f t="shared" si="4"/>
        <v>0</v>
      </c>
      <c r="F57" s="68"/>
      <c r="G57" s="68"/>
      <c r="H57" s="73">
        <f t="shared" si="1"/>
        <v>0</v>
      </c>
      <c r="I57" s="73">
        <f t="shared" si="2"/>
        <v>0</v>
      </c>
      <c r="J57" s="73">
        <f t="shared" si="5"/>
        <v>0</v>
      </c>
    </row>
    <row r="58" spans="1:10" s="118" customFormat="1" ht="15">
      <c r="A58" s="120" t="s">
        <v>159</v>
      </c>
      <c r="B58" s="68" t="s">
        <v>473</v>
      </c>
      <c r="D58" s="68"/>
      <c r="E58" s="73">
        <f t="shared" si="4"/>
        <v>0</v>
      </c>
      <c r="F58" s="68"/>
      <c r="G58" s="68"/>
      <c r="H58" s="73">
        <f t="shared" si="1"/>
        <v>0</v>
      </c>
      <c r="I58" s="73">
        <f t="shared" si="2"/>
        <v>0</v>
      </c>
      <c r="J58" s="73">
        <f t="shared" si="5"/>
        <v>0</v>
      </c>
    </row>
    <row r="59" spans="1:10" s="118" customFormat="1" ht="15">
      <c r="A59" s="120" t="s">
        <v>158</v>
      </c>
      <c r="B59" s="68"/>
      <c r="D59" s="68"/>
      <c r="E59" s="73">
        <f t="shared" si="4"/>
        <v>0</v>
      </c>
      <c r="F59" s="68"/>
      <c r="G59" s="68"/>
      <c r="H59" s="73">
        <f t="shared" si="1"/>
        <v>0</v>
      </c>
      <c r="I59" s="73">
        <f t="shared" si="2"/>
        <v>0</v>
      </c>
      <c r="J59" s="73">
        <f t="shared" si="5"/>
        <v>0</v>
      </c>
    </row>
    <row r="60" spans="1:10" s="118" customFormat="1" ht="15">
      <c r="A60" s="120" t="s">
        <v>157</v>
      </c>
      <c r="B60" s="68">
        <v>15</v>
      </c>
      <c r="D60" s="68"/>
      <c r="E60" s="73">
        <f t="shared" si="4"/>
        <v>0</v>
      </c>
      <c r="F60" s="68"/>
      <c r="G60" s="68"/>
      <c r="H60" s="73">
        <f t="shared" si="1"/>
        <v>0</v>
      </c>
      <c r="I60" s="73">
        <f t="shared" si="2"/>
        <v>0</v>
      </c>
      <c r="J60" s="73">
        <f t="shared" si="5"/>
        <v>0</v>
      </c>
    </row>
    <row r="61" spans="1:10" s="118" customFormat="1" ht="15">
      <c r="A61" s="120" t="s">
        <v>156</v>
      </c>
      <c r="B61" s="68">
        <v>3</v>
      </c>
      <c r="D61" s="68"/>
      <c r="E61" s="73">
        <f t="shared" si="4"/>
        <v>0</v>
      </c>
      <c r="F61" s="68"/>
      <c r="G61" s="68"/>
      <c r="H61" s="73">
        <f t="shared" si="1"/>
        <v>0</v>
      </c>
      <c r="I61" s="73">
        <f t="shared" si="2"/>
        <v>0</v>
      </c>
      <c r="J61" s="73">
        <f t="shared" si="5"/>
        <v>0</v>
      </c>
    </row>
    <row r="62" spans="1:10" s="118" customFormat="1" ht="15">
      <c r="A62" s="132" t="s">
        <v>485</v>
      </c>
      <c r="B62" s="132">
        <v>3</v>
      </c>
      <c r="C62" s="68"/>
      <c r="D62" s="68"/>
      <c r="E62" s="73">
        <f t="shared" si="4"/>
        <v>0</v>
      </c>
      <c r="F62" s="68"/>
      <c r="G62" s="68"/>
      <c r="H62" s="73">
        <f t="shared" si="1"/>
        <v>0</v>
      </c>
      <c r="I62" s="73">
        <f t="shared" si="2"/>
        <v>0</v>
      </c>
      <c r="J62" s="73">
        <f t="shared" si="5"/>
        <v>0</v>
      </c>
    </row>
    <row r="63" spans="1:10" s="118" customFormat="1" ht="15">
      <c r="A63" s="120" t="s">
        <v>155</v>
      </c>
      <c r="B63" s="68">
        <v>21</v>
      </c>
      <c r="C63" s="68"/>
      <c r="D63" s="68"/>
      <c r="E63" s="73">
        <f t="shared" si="4"/>
        <v>0</v>
      </c>
      <c r="F63" s="68"/>
      <c r="G63" s="68"/>
      <c r="H63" s="73">
        <f t="shared" si="1"/>
        <v>0</v>
      </c>
      <c r="I63" s="73">
        <f t="shared" si="2"/>
        <v>0</v>
      </c>
      <c r="J63" s="73">
        <f t="shared" si="5"/>
        <v>0</v>
      </c>
    </row>
    <row r="64" spans="1:10" s="118" customFormat="1" ht="15">
      <c r="A64" s="120" t="s">
        <v>155</v>
      </c>
      <c r="B64" s="68">
        <v>21</v>
      </c>
      <c r="C64" s="68"/>
      <c r="D64" s="68"/>
      <c r="E64" s="73">
        <f t="shared" si="4"/>
        <v>0</v>
      </c>
      <c r="F64" s="68"/>
      <c r="G64" s="68"/>
      <c r="H64" s="73">
        <f t="shared" si="1"/>
        <v>0</v>
      </c>
      <c r="I64" s="73">
        <f t="shared" si="2"/>
        <v>0</v>
      </c>
      <c r="J64" s="73">
        <f t="shared" si="5"/>
        <v>0</v>
      </c>
    </row>
    <row r="65" spans="1:10" s="118" customFormat="1" ht="15">
      <c r="A65" s="120" t="s">
        <v>154</v>
      </c>
      <c r="B65" s="68" t="s">
        <v>486</v>
      </c>
      <c r="C65" s="68"/>
      <c r="D65" s="68"/>
      <c r="E65" s="73">
        <f t="shared" si="4"/>
        <v>0</v>
      </c>
      <c r="F65" s="68"/>
      <c r="G65" s="68"/>
      <c r="H65" s="73">
        <f t="shared" si="1"/>
        <v>0</v>
      </c>
      <c r="I65" s="73">
        <f t="shared" si="2"/>
        <v>0</v>
      </c>
      <c r="J65" s="73">
        <f t="shared" si="5"/>
        <v>0</v>
      </c>
    </row>
    <row r="66" spans="1:10" s="118" customFormat="1" ht="15">
      <c r="A66" s="132" t="s">
        <v>487</v>
      </c>
      <c r="B66" s="132" t="s">
        <v>488</v>
      </c>
      <c r="C66" s="68"/>
      <c r="D66" s="68"/>
      <c r="E66" s="73">
        <f t="shared" si="4"/>
        <v>0</v>
      </c>
      <c r="F66" s="68"/>
      <c r="G66" s="68"/>
      <c r="H66" s="73">
        <f t="shared" si="1"/>
        <v>0</v>
      </c>
      <c r="I66" s="73">
        <f t="shared" si="2"/>
        <v>0</v>
      </c>
      <c r="J66" s="73">
        <f t="shared" si="5"/>
        <v>0</v>
      </c>
    </row>
    <row r="67" spans="1:10" s="118" customFormat="1" ht="15">
      <c r="A67" s="120" t="s">
        <v>153</v>
      </c>
      <c r="B67" s="68">
        <v>5</v>
      </c>
      <c r="C67" s="68"/>
      <c r="D67" s="68"/>
      <c r="E67" s="73">
        <f t="shared" si="4"/>
        <v>0</v>
      </c>
      <c r="F67" s="68"/>
      <c r="G67" s="68"/>
      <c r="H67" s="73">
        <f t="shared" si="1"/>
        <v>0</v>
      </c>
      <c r="I67" s="73">
        <f t="shared" si="2"/>
        <v>0</v>
      </c>
      <c r="J67" s="73">
        <f t="shared" si="5"/>
        <v>0</v>
      </c>
    </row>
    <row r="68" spans="1:10" s="118" customFormat="1" ht="15">
      <c r="A68" s="120" t="s">
        <v>152</v>
      </c>
      <c r="B68" s="68">
        <v>23</v>
      </c>
      <c r="C68" s="68"/>
      <c r="D68" s="68"/>
      <c r="E68" s="73">
        <f>IF(D68=0,0,C68/D68)</f>
        <v>0</v>
      </c>
      <c r="F68" s="68"/>
      <c r="G68" s="68"/>
      <c r="H68" s="73">
        <f t="shared" si="1"/>
        <v>0</v>
      </c>
      <c r="I68" s="73">
        <f t="shared" si="2"/>
        <v>0</v>
      </c>
      <c r="J68" s="73">
        <f t="shared" si="5"/>
        <v>0</v>
      </c>
    </row>
    <row r="69" spans="1:10" s="118" customFormat="1" ht="15">
      <c r="A69" s="132" t="s">
        <v>489</v>
      </c>
      <c r="B69" s="132">
        <v>23</v>
      </c>
      <c r="C69" s="68"/>
      <c r="D69" s="68"/>
      <c r="E69" s="73">
        <f t="shared" si="4"/>
        <v>0</v>
      </c>
      <c r="F69" s="68"/>
      <c r="G69" s="68"/>
      <c r="H69" s="73">
        <f t="shared" si="1"/>
        <v>0</v>
      </c>
      <c r="I69" s="73">
        <f t="shared" si="2"/>
        <v>0</v>
      </c>
      <c r="J69" s="73">
        <f t="shared" si="5"/>
        <v>0</v>
      </c>
    </row>
    <row r="70" spans="1:10" s="118" customFormat="1" ht="15">
      <c r="A70" s="68" t="s">
        <v>151</v>
      </c>
      <c r="B70" s="68">
        <v>3</v>
      </c>
      <c r="C70" s="68"/>
      <c r="D70" s="68"/>
      <c r="E70" s="73">
        <f t="shared" si="4"/>
        <v>0</v>
      </c>
      <c r="F70" s="68"/>
      <c r="G70" s="68"/>
      <c r="H70" s="73">
        <f t="shared" si="1"/>
        <v>0</v>
      </c>
      <c r="I70" s="73">
        <f t="shared" si="2"/>
        <v>0</v>
      </c>
      <c r="J70" s="73">
        <f t="shared" si="5"/>
        <v>0</v>
      </c>
    </row>
    <row r="71" spans="1:10" s="118" customFormat="1" ht="15">
      <c r="A71" s="132" t="s">
        <v>490</v>
      </c>
      <c r="B71" s="132" t="s">
        <v>491</v>
      </c>
      <c r="C71" s="68"/>
      <c r="D71" s="68"/>
      <c r="E71" s="73">
        <f t="shared" si="4"/>
        <v>0</v>
      </c>
      <c r="F71" s="68"/>
      <c r="G71" s="68"/>
      <c r="H71" s="73">
        <f t="shared" si="1"/>
        <v>0</v>
      </c>
      <c r="I71" s="73">
        <f t="shared" si="2"/>
        <v>0</v>
      </c>
      <c r="J71" s="73">
        <f t="shared" si="5"/>
        <v>0</v>
      </c>
    </row>
    <row r="72" spans="1:10" s="118" customFormat="1" ht="15">
      <c r="A72" s="68" t="s">
        <v>150</v>
      </c>
      <c r="B72" s="68" t="s">
        <v>468</v>
      </c>
      <c r="C72" s="68"/>
      <c r="D72" s="68"/>
      <c r="E72" s="73">
        <f t="shared" si="4"/>
        <v>0</v>
      </c>
      <c r="F72" s="68"/>
      <c r="G72" s="68"/>
      <c r="H72" s="73">
        <f t="shared" si="1"/>
        <v>0</v>
      </c>
      <c r="I72" s="73">
        <f t="shared" si="2"/>
        <v>0</v>
      </c>
      <c r="J72" s="73">
        <f t="shared" si="5"/>
        <v>0</v>
      </c>
    </row>
    <row r="73" spans="1:10" s="118" customFormat="1" ht="15">
      <c r="A73" s="84" t="s">
        <v>492</v>
      </c>
      <c r="B73" s="84" t="s">
        <v>499</v>
      </c>
      <c r="C73" s="68"/>
      <c r="D73" s="68"/>
      <c r="E73" s="73">
        <f t="shared" si="4"/>
        <v>0</v>
      </c>
      <c r="F73" s="68"/>
      <c r="G73" s="68"/>
      <c r="H73" s="73">
        <f>E73*F73*G73</f>
        <v>0</v>
      </c>
      <c r="I73" s="73">
        <f>H73*$B$2</f>
        <v>0</v>
      </c>
      <c r="J73" s="73">
        <f>I73/$B$4</f>
        <v>0</v>
      </c>
    </row>
    <row r="74" spans="1:10" s="118" customFormat="1" ht="15">
      <c r="A74" s="68"/>
      <c r="B74" s="68"/>
      <c r="C74" s="68"/>
      <c r="D74" s="68"/>
      <c r="E74" s="73">
        <f t="shared" si="4"/>
        <v>0</v>
      </c>
      <c r="F74" s="68"/>
      <c r="G74" s="68"/>
      <c r="H74" s="73">
        <f>E74*F74*G74</f>
        <v>0</v>
      </c>
      <c r="I74" s="73">
        <f>H74*$B$2</f>
        <v>0</v>
      </c>
      <c r="J74" s="73">
        <f>I74/$B$4</f>
        <v>0</v>
      </c>
    </row>
    <row r="75" spans="1:10" s="118" customFormat="1" ht="15">
      <c r="A75" s="68"/>
      <c r="B75" s="68"/>
      <c r="C75" s="68"/>
      <c r="D75" s="68"/>
      <c r="E75" s="73">
        <f t="shared" si="4"/>
        <v>0</v>
      </c>
      <c r="F75" s="68"/>
      <c r="G75" s="68"/>
      <c r="H75" s="73">
        <f>E75*F75*G75</f>
        <v>0</v>
      </c>
      <c r="I75" s="73">
        <f>H75*$B$2</f>
        <v>0</v>
      </c>
      <c r="J75" s="73">
        <f>I75/$B$4</f>
        <v>0</v>
      </c>
    </row>
    <row r="76" spans="1:10" s="118" customFormat="1" ht="15">
      <c r="A76" s="68"/>
      <c r="B76" s="68"/>
      <c r="C76" s="68"/>
      <c r="D76" s="68"/>
      <c r="E76" s="73">
        <f t="shared" si="4"/>
        <v>0</v>
      </c>
      <c r="F76" s="68"/>
      <c r="G76" s="68"/>
      <c r="H76" s="73">
        <f>E76*F76*G76</f>
        <v>0</v>
      </c>
      <c r="I76" s="73">
        <f>H76*$B$2</f>
        <v>0</v>
      </c>
      <c r="J76" s="73">
        <f>I76/$B$4</f>
        <v>0</v>
      </c>
    </row>
    <row r="77" spans="1:10" ht="15">
      <c r="A77" s="123"/>
      <c r="B77" s="123"/>
      <c r="C77" s="123"/>
      <c r="D77" s="123"/>
      <c r="E77" s="133">
        <f t="shared" si="4"/>
        <v>0</v>
      </c>
      <c r="F77" s="123"/>
      <c r="G77" s="123"/>
      <c r="H77" s="133">
        <f>E77*F77*G77</f>
        <v>0</v>
      </c>
      <c r="I77" s="133">
        <f>H77*$B$2</f>
        <v>0</v>
      </c>
      <c r="J77" s="133">
        <f>I77/$B$4</f>
        <v>0</v>
      </c>
    </row>
    <row r="78" spans="1:10" ht="15">
      <c r="A78" s="84" t="s">
        <v>149</v>
      </c>
      <c r="B78" s="68"/>
      <c r="E78" s="72"/>
      <c r="H78" s="73">
        <f>SUM(H28:H77)</f>
        <v>0</v>
      </c>
      <c r="I78" s="73">
        <f>SUM(I28:I77)</f>
        <v>0</v>
      </c>
      <c r="J78" s="73">
        <f>SUM(J28:J77)</f>
        <v>0</v>
      </c>
    </row>
    <row r="80" ht="15">
      <c r="B80" s="119"/>
    </row>
    <row r="81" spans="1:3" ht="15">
      <c r="A81" s="176" t="s">
        <v>497</v>
      </c>
      <c r="B81" s="176"/>
      <c r="C81" s="176"/>
    </row>
    <row r="82" spans="1:2" ht="15">
      <c r="A82" s="124" t="s">
        <v>493</v>
      </c>
      <c r="B82" s="125"/>
    </row>
    <row r="83" ht="15">
      <c r="A83" s="68" t="s">
        <v>110</v>
      </c>
    </row>
    <row r="84" spans="1:4" ht="15">
      <c r="A84" s="66" t="s">
        <v>83</v>
      </c>
      <c r="D84" s="69"/>
    </row>
    <row r="85" ht="15">
      <c r="A85" s="68" t="s">
        <v>84</v>
      </c>
    </row>
    <row r="86" ht="15">
      <c r="A86" s="66" t="s">
        <v>88</v>
      </c>
    </row>
    <row r="87" ht="15">
      <c r="A87" s="68" t="s">
        <v>89</v>
      </c>
    </row>
    <row r="88" ht="15">
      <c r="A88" s="66" t="s">
        <v>91</v>
      </c>
    </row>
    <row r="89" ht="15">
      <c r="A89" s="68" t="s">
        <v>148</v>
      </c>
    </row>
    <row r="90" ht="15">
      <c r="A90" s="66" t="s">
        <v>147</v>
      </c>
    </row>
    <row r="91" ht="15" customHeight="1">
      <c r="A91" s="68" t="s">
        <v>109</v>
      </c>
    </row>
    <row r="92" ht="15">
      <c r="A92" s="66" t="s">
        <v>93</v>
      </c>
    </row>
    <row r="93" ht="15">
      <c r="A93" s="68" t="s">
        <v>146</v>
      </c>
    </row>
    <row r="94" spans="1:2" ht="15">
      <c r="A94" s="123" t="s">
        <v>111</v>
      </c>
      <c r="B94" s="123"/>
    </row>
    <row r="95" spans="1:2" ht="15">
      <c r="A95" s="84" t="s">
        <v>145</v>
      </c>
      <c r="B95" s="67">
        <f>SUM(B83:B94)</f>
        <v>0</v>
      </c>
    </row>
    <row r="97" spans="1:2" ht="15">
      <c r="A97" s="155" t="s">
        <v>494</v>
      </c>
      <c r="B97" s="124" t="s">
        <v>143</v>
      </c>
    </row>
    <row r="98" ht="15">
      <c r="A98" s="66" t="s">
        <v>12</v>
      </c>
    </row>
    <row r="99" ht="15">
      <c r="A99" s="66" t="s">
        <v>13</v>
      </c>
    </row>
    <row r="100" ht="15">
      <c r="A100" s="66" t="s">
        <v>13</v>
      </c>
    </row>
    <row r="101" ht="15">
      <c r="A101" s="66" t="s">
        <v>1</v>
      </c>
    </row>
    <row r="102" spans="1:2" ht="15">
      <c r="A102" s="123" t="s">
        <v>2</v>
      </c>
      <c r="B102" s="123"/>
    </row>
    <row r="103" spans="1:2" ht="15">
      <c r="A103" s="75" t="s">
        <v>142</v>
      </c>
      <c r="B103" s="67">
        <f>SUM(B98:B102)</f>
        <v>0</v>
      </c>
    </row>
  </sheetData>
  <sheetProtection password="96BD" sheet="1"/>
  <mergeCells count="4">
    <mergeCell ref="E3:K3"/>
    <mergeCell ref="E4:K4"/>
    <mergeCell ref="E15:G15"/>
    <mergeCell ref="A81:C81"/>
  </mergeCells>
  <printOp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sheetPr>
    <tabColor rgb="FF0070C0"/>
  </sheetPr>
  <dimension ref="A1:U92"/>
  <sheetViews>
    <sheetView zoomScale="85" zoomScaleNormal="85" zoomScalePageLayoutView="0" workbookViewId="0" topLeftCell="A67">
      <selection activeCell="A84" sqref="A84"/>
    </sheetView>
  </sheetViews>
  <sheetFormatPr defaultColWidth="9.140625" defaultRowHeight="15"/>
  <cols>
    <col min="1" max="1" width="35.28125" style="66" bestFit="1" customWidth="1"/>
    <col min="2" max="2" width="33.8515625" style="66" customWidth="1"/>
    <col min="3" max="3" width="40.8515625" style="66" bestFit="1" customWidth="1"/>
    <col min="4" max="4" width="17.8515625" style="66" bestFit="1" customWidth="1"/>
    <col min="5" max="5" width="18.28125" style="66" bestFit="1" customWidth="1"/>
    <col min="6" max="6" width="35.140625" style="66" bestFit="1" customWidth="1"/>
    <col min="7" max="7" width="12.7109375" style="66" bestFit="1" customWidth="1"/>
    <col min="8" max="8" width="17.57421875" style="66" bestFit="1" customWidth="1"/>
    <col min="9" max="9" width="14.421875" style="66" bestFit="1" customWidth="1"/>
    <col min="10" max="10" width="16.140625" style="66" bestFit="1" customWidth="1"/>
    <col min="11" max="11" width="10.140625" style="66" bestFit="1" customWidth="1"/>
    <col min="12" max="12" width="11.00390625" style="66" bestFit="1" customWidth="1"/>
    <col min="13" max="16384" width="9.140625" style="66" customWidth="1"/>
  </cols>
  <sheetData>
    <row r="1" spans="1:3" ht="15">
      <c r="A1" s="84" t="s">
        <v>495</v>
      </c>
      <c r="B1" s="84"/>
      <c r="C1" s="68"/>
    </row>
    <row r="2" spans="1:11" ht="21">
      <c r="A2" s="67" t="s">
        <v>496</v>
      </c>
      <c r="B2" s="66">
        <v>20</v>
      </c>
      <c r="E2" s="177" t="s">
        <v>221</v>
      </c>
      <c r="F2" s="177"/>
      <c r="G2" s="177"/>
      <c r="H2" s="177"/>
      <c r="I2" s="177"/>
      <c r="J2" s="177"/>
      <c r="K2" s="177"/>
    </row>
    <row r="3" spans="1:11" ht="23.25">
      <c r="A3" s="67" t="s">
        <v>220</v>
      </c>
      <c r="B3" s="66">
        <v>500</v>
      </c>
      <c r="C3" s="135" t="s">
        <v>216</v>
      </c>
      <c r="E3" s="178" t="s">
        <v>219</v>
      </c>
      <c r="F3" s="178"/>
      <c r="G3" s="178"/>
      <c r="H3" s="178"/>
      <c r="I3" s="178"/>
      <c r="J3" s="178"/>
      <c r="K3" s="67"/>
    </row>
    <row r="4" spans="1:11" ht="15">
      <c r="A4" s="67" t="s">
        <v>222</v>
      </c>
      <c r="B4" s="67">
        <f>B2*B3</f>
        <v>10000</v>
      </c>
      <c r="C4" s="136" t="s">
        <v>217</v>
      </c>
      <c r="D4" s="125" t="s">
        <v>206</v>
      </c>
      <c r="E4" s="137" t="s">
        <v>215</v>
      </c>
      <c r="F4" s="137" t="s">
        <v>214</v>
      </c>
      <c r="G4" s="137" t="s">
        <v>213</v>
      </c>
      <c r="H4" s="137" t="s">
        <v>212</v>
      </c>
      <c r="I4" s="137" t="s">
        <v>211</v>
      </c>
      <c r="J4" s="137" t="s">
        <v>210</v>
      </c>
      <c r="K4" s="137" t="s">
        <v>209</v>
      </c>
    </row>
    <row r="5" spans="3:11" ht="15">
      <c r="C5" s="67" t="s">
        <v>215</v>
      </c>
      <c r="D5" s="118">
        <v>0</v>
      </c>
      <c r="E5" s="81">
        <f>CONVERT($D5,"oz","oz")</f>
        <v>0</v>
      </c>
      <c r="F5" s="81">
        <f>CONVERT($D5,"oz","tsp")</f>
        <v>0</v>
      </c>
      <c r="G5" s="81">
        <f>CONVERT($D5,"oz","tbs")</f>
        <v>0</v>
      </c>
      <c r="H5" s="81">
        <f>CONVERT($D5,"oz","us_pt")</f>
        <v>0</v>
      </c>
      <c r="I5" s="81">
        <f>CONVERT($D5,"oz","qt")</f>
        <v>0</v>
      </c>
      <c r="J5" s="81">
        <f>CONVERT($D5,"oz","gal")</f>
        <v>0</v>
      </c>
      <c r="K5" s="81">
        <f>CONVERT($D5,"oz","l")</f>
        <v>0</v>
      </c>
    </row>
    <row r="6" spans="3:11" ht="15">
      <c r="C6" s="67" t="s">
        <v>214</v>
      </c>
      <c r="D6" s="118">
        <v>0</v>
      </c>
      <c r="E6" s="81">
        <f>CONVERT($D6,"tsp","oz")</f>
        <v>0</v>
      </c>
      <c r="F6" s="81">
        <f>CONVERT($D6,"tsp","tsp")</f>
        <v>0</v>
      </c>
      <c r="G6" s="81">
        <f>CONVERT($D6,"tsp","tbs")</f>
        <v>0</v>
      </c>
      <c r="H6" s="81">
        <f>CONVERT($D6,"tsp","us_pt")</f>
        <v>0</v>
      </c>
      <c r="I6" s="81">
        <f>CONVERT($D6,"tsp","qt")</f>
        <v>0</v>
      </c>
      <c r="J6" s="81">
        <f>CONVERT($D6,"tsp","gal")</f>
        <v>0</v>
      </c>
      <c r="K6" s="81">
        <f>CONVERT($D6,"tsp","l")</f>
        <v>0</v>
      </c>
    </row>
    <row r="7" spans="3:11" ht="15">
      <c r="C7" s="67" t="s">
        <v>213</v>
      </c>
      <c r="D7" s="118">
        <v>0</v>
      </c>
      <c r="E7" s="81">
        <f>CONVERT($D7,"tbs","oz")</f>
        <v>0</v>
      </c>
      <c r="F7" s="81">
        <f>CONVERT($D7,"tbs","tsp")</f>
        <v>0</v>
      </c>
      <c r="G7" s="81">
        <f>CONVERT($D7,"tbs","tbs")</f>
        <v>0</v>
      </c>
      <c r="H7" s="81">
        <f>CONVERT($D7,"tbs","us_pt")</f>
        <v>0</v>
      </c>
      <c r="I7" s="81">
        <f>CONVERT($D7,"tbs","qt")</f>
        <v>0</v>
      </c>
      <c r="J7" s="81">
        <f>CONVERT($D7,"tbs","gal")</f>
        <v>0</v>
      </c>
      <c r="K7" s="81">
        <f>CONVERT($D7,"tbs","l")</f>
        <v>0</v>
      </c>
    </row>
    <row r="8" spans="3:11" ht="15">
      <c r="C8" s="67" t="s">
        <v>212</v>
      </c>
      <c r="D8" s="118">
        <v>0</v>
      </c>
      <c r="E8" s="81">
        <f>CONVERT($D8,"us_pt","oz")</f>
        <v>0</v>
      </c>
      <c r="F8" s="81">
        <f>CONVERT($D8,"us_pt","tsp")</f>
        <v>0</v>
      </c>
      <c r="G8" s="81">
        <f>CONVERT($D8,"us_pt","tbs")</f>
        <v>0</v>
      </c>
      <c r="H8" s="81">
        <f>CONVERT($D8,"us_pt","us_pt")</f>
        <v>0</v>
      </c>
      <c r="I8" s="81">
        <f>CONVERT($D8,"us_pt","qt")</f>
        <v>0</v>
      </c>
      <c r="J8" s="81">
        <f>CONVERT($D8,"us_pt","gal")</f>
        <v>0</v>
      </c>
      <c r="K8" s="81">
        <f>CONVERT($D8,"us_pt","l")</f>
        <v>0</v>
      </c>
    </row>
    <row r="9" spans="3:11" ht="15">
      <c r="C9" s="67" t="s">
        <v>211</v>
      </c>
      <c r="D9" s="118">
        <v>0</v>
      </c>
      <c r="E9" s="81">
        <f>CONVERT($D9,"qt","oz")</f>
        <v>0</v>
      </c>
      <c r="F9" s="81">
        <f>CONVERT($D9,"qt","tsp")</f>
        <v>0</v>
      </c>
      <c r="G9" s="81">
        <f>CONVERT($D9,"qt","tbs")</f>
        <v>0</v>
      </c>
      <c r="H9" s="81">
        <f>CONVERT($D9,"qt","us_pt")</f>
        <v>0</v>
      </c>
      <c r="I9" s="81">
        <f>CONVERT($D9,"qt","qt")</f>
        <v>0</v>
      </c>
      <c r="J9" s="81">
        <f>CONVERT($D9,"qt","gal")</f>
        <v>0</v>
      </c>
      <c r="K9" s="81">
        <f>CONVERT($D9,"qt","l")</f>
        <v>0</v>
      </c>
    </row>
    <row r="10" spans="3:11" ht="15">
      <c r="C10" s="67" t="s">
        <v>210</v>
      </c>
      <c r="D10" s="118">
        <v>0</v>
      </c>
      <c r="E10" s="81">
        <f>CONVERT($D10,"gal","oz")</f>
        <v>0</v>
      </c>
      <c r="F10" s="81">
        <f>CONVERT($D10,"gal","tsp")</f>
        <v>0</v>
      </c>
      <c r="G10" s="81">
        <f>CONVERT($D10,"gal","tbs")</f>
        <v>0</v>
      </c>
      <c r="H10" s="81">
        <f>CONVERT($D10,"gal","us_pt")</f>
        <v>0</v>
      </c>
      <c r="I10" s="81">
        <f>CONVERT($D10,"gal","qt")</f>
        <v>0</v>
      </c>
      <c r="J10" s="81">
        <f>CONVERT($D10,"gal","gal")</f>
        <v>0</v>
      </c>
      <c r="K10" s="81">
        <f>CONVERT($D10,"gal","l")</f>
        <v>0</v>
      </c>
    </row>
    <row r="11" spans="3:11" ht="15">
      <c r="C11" s="138" t="s">
        <v>209</v>
      </c>
      <c r="D11" s="134">
        <v>0</v>
      </c>
      <c r="E11" s="139">
        <f>CONVERT($D11,"l","oz")</f>
        <v>0</v>
      </c>
      <c r="F11" s="139">
        <f>CONVERT($D11,"l","tsp")</f>
        <v>0</v>
      </c>
      <c r="G11" s="139">
        <f>CONVERT($D11,"l","tbs")</f>
        <v>0</v>
      </c>
      <c r="H11" s="139">
        <f>CONVERT($D11,"l","us_pt")</f>
        <v>0</v>
      </c>
      <c r="I11" s="139">
        <f>CONVERT($D11,"l","qt")</f>
        <v>0</v>
      </c>
      <c r="J11" s="139">
        <f>CONVERT($D11,"l","gal")</f>
        <v>0</v>
      </c>
      <c r="K11" s="139">
        <f>CONVERT($D11,"l","l")</f>
        <v>0</v>
      </c>
    </row>
    <row r="12" spans="3:11" ht="15">
      <c r="C12" s="67" t="s">
        <v>202</v>
      </c>
      <c r="D12" s="118"/>
      <c r="E12" s="81">
        <f>SUM(E5:E11)</f>
        <v>0</v>
      </c>
      <c r="F12" s="81">
        <f aca="true" t="shared" si="0" ref="F12:K12">SUM(F5:F11)</f>
        <v>0</v>
      </c>
      <c r="G12" s="81">
        <f t="shared" si="0"/>
        <v>0</v>
      </c>
      <c r="H12" s="81">
        <f t="shared" si="0"/>
        <v>0</v>
      </c>
      <c r="I12" s="81">
        <f t="shared" si="0"/>
        <v>0</v>
      </c>
      <c r="J12" s="81">
        <f t="shared" si="0"/>
        <v>0</v>
      </c>
      <c r="K12" s="81">
        <f t="shared" si="0"/>
        <v>0</v>
      </c>
    </row>
    <row r="13" spans="3:11" ht="15">
      <c r="C13" s="67"/>
      <c r="D13" s="118"/>
      <c r="E13" s="81"/>
      <c r="F13" s="81"/>
      <c r="G13" s="81"/>
      <c r="H13" s="81"/>
      <c r="I13" s="81"/>
      <c r="J13" s="81"/>
      <c r="K13" s="81"/>
    </row>
    <row r="14" spans="3:11" ht="15">
      <c r="C14" s="67"/>
      <c r="D14" s="103"/>
      <c r="E14" s="175" t="s">
        <v>208</v>
      </c>
      <c r="F14" s="175"/>
      <c r="G14" s="175"/>
      <c r="H14" s="118"/>
      <c r="I14" s="118"/>
      <c r="J14" s="118"/>
      <c r="K14" s="118"/>
    </row>
    <row r="15" spans="3:11" ht="15">
      <c r="C15" s="138" t="s">
        <v>207</v>
      </c>
      <c r="D15" s="134" t="s">
        <v>206</v>
      </c>
      <c r="E15" s="139" t="s">
        <v>205</v>
      </c>
      <c r="F15" s="139" t="s">
        <v>204</v>
      </c>
      <c r="G15" s="139" t="s">
        <v>203</v>
      </c>
      <c r="H15" s="118"/>
      <c r="I15" s="118"/>
      <c r="J15" s="118"/>
      <c r="K15" s="118"/>
    </row>
    <row r="16" spans="3:11" ht="15">
      <c r="C16" s="67" t="s">
        <v>205</v>
      </c>
      <c r="D16" s="118">
        <v>0</v>
      </c>
      <c r="E16" s="81">
        <f>CONVERT($D16,"ozm","ozm")</f>
        <v>0</v>
      </c>
      <c r="F16" s="81">
        <f>CONVERT($D16,"ozm","lbm")</f>
        <v>0</v>
      </c>
      <c r="G16" s="81">
        <f>CONVERT($D16,"ozm","g")</f>
        <v>0</v>
      </c>
      <c r="H16" s="118"/>
      <c r="I16" s="118"/>
      <c r="J16" s="118"/>
      <c r="K16" s="118"/>
    </row>
    <row r="17" spans="3:11" ht="15">
      <c r="C17" s="67" t="s">
        <v>204</v>
      </c>
      <c r="D17" s="118">
        <v>0</v>
      </c>
      <c r="E17" s="81">
        <f>CONVERT($D17,"lbm","ozm")</f>
        <v>0</v>
      </c>
      <c r="F17" s="81">
        <f>CONVERT($D17,"lbm","lbm")</f>
        <v>0</v>
      </c>
      <c r="G17" s="81">
        <f>CONVERT($D17,"lbm","g")</f>
        <v>0</v>
      </c>
      <c r="H17" s="118"/>
      <c r="I17" s="118"/>
      <c r="J17" s="118"/>
      <c r="K17" s="118"/>
    </row>
    <row r="18" spans="3:11" ht="15">
      <c r="C18" s="138" t="s">
        <v>203</v>
      </c>
      <c r="D18" s="134">
        <v>0</v>
      </c>
      <c r="E18" s="139">
        <f>CONVERT($D18,"g","ozm")</f>
        <v>0</v>
      </c>
      <c r="F18" s="139">
        <f>CONVERT($D18,"g","lbm")</f>
        <v>0</v>
      </c>
      <c r="G18" s="139">
        <f>CONVERT($D18,"g","g")</f>
        <v>0</v>
      </c>
      <c r="H18" s="118"/>
      <c r="I18" s="118"/>
      <c r="J18" s="118"/>
      <c r="K18" s="118"/>
    </row>
    <row r="19" spans="3:11" ht="15">
      <c r="C19" s="67" t="s">
        <v>202</v>
      </c>
      <c r="D19" s="118"/>
      <c r="E19" s="81">
        <f>SUM(E16:E18)</f>
        <v>0</v>
      </c>
      <c r="F19" s="81">
        <f>SUM(F16:F18)</f>
        <v>0</v>
      </c>
      <c r="G19" s="81">
        <f>SUM(G16:G18)</f>
        <v>0</v>
      </c>
      <c r="H19" s="118"/>
      <c r="I19" s="118"/>
      <c r="J19" s="118"/>
      <c r="K19" s="118"/>
    </row>
    <row r="20" spans="4:11" ht="15">
      <c r="D20" s="118"/>
      <c r="E20" s="118"/>
      <c r="F20" s="118"/>
      <c r="G20" s="118"/>
      <c r="H20" s="118"/>
      <c r="I20" s="118"/>
      <c r="J20" s="118"/>
      <c r="K20" s="118"/>
    </row>
    <row r="25" spans="1:4" ht="15">
      <c r="A25" s="67"/>
      <c r="B25" s="67"/>
      <c r="C25" s="67"/>
      <c r="D25" s="67"/>
    </row>
    <row r="26" spans="1:12" ht="15">
      <c r="A26" s="67"/>
      <c r="B26" s="67"/>
      <c r="C26" s="67"/>
      <c r="D26" s="67"/>
      <c r="E26" s="140"/>
      <c r="F26" s="141" t="s">
        <v>201</v>
      </c>
      <c r="G26" s="141" t="s">
        <v>200</v>
      </c>
      <c r="H26" s="141" t="s">
        <v>199</v>
      </c>
      <c r="I26" s="141" t="s">
        <v>198</v>
      </c>
      <c r="J26" s="141" t="s">
        <v>197</v>
      </c>
      <c r="K26" s="141" t="s">
        <v>196</v>
      </c>
      <c r="L26" s="141" t="s">
        <v>195</v>
      </c>
    </row>
    <row r="27" spans="1:12" ht="15">
      <c r="A27" s="67"/>
      <c r="B27" s="67"/>
      <c r="C27" s="67"/>
      <c r="D27" s="67"/>
      <c r="E27" s="82" t="s">
        <v>223</v>
      </c>
      <c r="F27" s="83" t="s">
        <v>193</v>
      </c>
      <c r="G27" s="83" t="s">
        <v>192</v>
      </c>
      <c r="H27" s="83" t="s">
        <v>191</v>
      </c>
      <c r="I27" s="83" t="s">
        <v>190</v>
      </c>
      <c r="J27" s="83" t="s">
        <v>189</v>
      </c>
      <c r="K27" s="83" t="s">
        <v>188</v>
      </c>
      <c r="L27" s="83" t="s">
        <v>187</v>
      </c>
    </row>
    <row r="28" spans="2:12" ht="15">
      <c r="B28" s="67"/>
      <c r="C28" s="67"/>
      <c r="D28" s="67"/>
      <c r="E28" s="82"/>
      <c r="F28" s="83" t="s">
        <v>186</v>
      </c>
      <c r="G28" s="82"/>
      <c r="H28" s="83" t="s">
        <v>185</v>
      </c>
      <c r="I28" s="82"/>
      <c r="J28" s="82"/>
      <c r="K28" s="82"/>
      <c r="L28" s="82"/>
    </row>
    <row r="29" spans="1:12" ht="15">
      <c r="A29" s="136" t="s">
        <v>184</v>
      </c>
      <c r="B29" s="136" t="s">
        <v>224</v>
      </c>
      <c r="C29" s="136" t="s">
        <v>225</v>
      </c>
      <c r="D29" s="137" t="s">
        <v>226</v>
      </c>
      <c r="E29" s="136"/>
      <c r="F29" s="137" t="s">
        <v>183</v>
      </c>
      <c r="G29" s="136"/>
      <c r="H29" s="137" t="s">
        <v>182</v>
      </c>
      <c r="I29" s="136"/>
      <c r="J29" s="136"/>
      <c r="K29" s="136"/>
      <c r="L29" s="136"/>
    </row>
    <row r="30" spans="1:21" ht="15">
      <c r="A30" s="82" t="s">
        <v>227</v>
      </c>
      <c r="B30" s="88" t="s">
        <v>228</v>
      </c>
      <c r="C30" s="82" t="s">
        <v>229</v>
      </c>
      <c r="D30" s="85" t="s">
        <v>230</v>
      </c>
      <c r="E30" s="73">
        <v>75</v>
      </c>
      <c r="F30" s="81">
        <v>80</v>
      </c>
      <c r="G30" s="73">
        <v>0.9375</v>
      </c>
      <c r="H30" s="81">
        <v>22</v>
      </c>
      <c r="I30" s="81">
        <v>1</v>
      </c>
      <c r="J30" s="73">
        <v>20.625</v>
      </c>
      <c r="K30" s="73">
        <v>412.5</v>
      </c>
      <c r="L30" s="73">
        <v>0.04125</v>
      </c>
      <c r="N30" s="83"/>
      <c r="O30" s="83"/>
      <c r="P30" s="74"/>
      <c r="Q30" s="83"/>
      <c r="R30" s="83"/>
      <c r="S30" s="83"/>
      <c r="T30" s="83"/>
      <c r="U30" s="83"/>
    </row>
    <row r="31" spans="1:21" ht="15">
      <c r="A31" s="67" t="s">
        <v>231</v>
      </c>
      <c r="B31" s="120" t="s">
        <v>232</v>
      </c>
      <c r="C31" s="67" t="s">
        <v>233</v>
      </c>
      <c r="D31" s="86">
        <v>11</v>
      </c>
      <c r="E31" s="142">
        <v>0</v>
      </c>
      <c r="F31" s="118"/>
      <c r="G31" s="73">
        <f aca="true" t="shared" si="1" ref="G31:G60">IF(F31=0,0,E31/F31)</f>
        <v>0</v>
      </c>
      <c r="J31" s="73">
        <f aca="true" t="shared" si="2" ref="J31:J59">G31*H31*I31</f>
        <v>0</v>
      </c>
      <c r="K31" s="73">
        <f aca="true" t="shared" si="3" ref="K31:K59">J31*$B$2</f>
        <v>0</v>
      </c>
      <c r="L31" s="73">
        <f aca="true" t="shared" si="4" ref="L31:L59">K31/$B$4</f>
        <v>0</v>
      </c>
      <c r="N31" s="83"/>
      <c r="O31" s="83"/>
      <c r="P31" s="74"/>
      <c r="Q31" s="83"/>
      <c r="R31" s="83"/>
      <c r="S31" s="83"/>
      <c r="T31" s="83"/>
      <c r="U31" s="83"/>
    </row>
    <row r="32" spans="1:12" ht="15">
      <c r="A32" s="67" t="s">
        <v>234</v>
      </c>
      <c r="B32" s="120" t="s">
        <v>228</v>
      </c>
      <c r="C32" s="67" t="s">
        <v>229</v>
      </c>
      <c r="D32" s="86" t="s">
        <v>230</v>
      </c>
      <c r="E32" s="142">
        <v>0</v>
      </c>
      <c r="F32" s="118"/>
      <c r="G32" s="73">
        <f t="shared" si="1"/>
        <v>0</v>
      </c>
      <c r="J32" s="73">
        <f t="shared" si="2"/>
        <v>0</v>
      </c>
      <c r="K32" s="73">
        <f t="shared" si="3"/>
        <v>0</v>
      </c>
      <c r="L32" s="73">
        <f t="shared" si="4"/>
        <v>0</v>
      </c>
    </row>
    <row r="33" spans="1:12" ht="15">
      <c r="A33" s="67" t="s">
        <v>235</v>
      </c>
      <c r="B33" s="120" t="s">
        <v>228</v>
      </c>
      <c r="C33" s="67" t="s">
        <v>229</v>
      </c>
      <c r="D33" s="86" t="s">
        <v>230</v>
      </c>
      <c r="E33" s="142">
        <v>0</v>
      </c>
      <c r="F33" s="118"/>
      <c r="G33" s="73">
        <f t="shared" si="1"/>
        <v>0</v>
      </c>
      <c r="J33" s="73">
        <f t="shared" si="2"/>
        <v>0</v>
      </c>
      <c r="K33" s="73">
        <f t="shared" si="3"/>
        <v>0</v>
      </c>
      <c r="L33" s="73">
        <f t="shared" si="4"/>
        <v>0</v>
      </c>
    </row>
    <row r="34" spans="1:12" ht="15">
      <c r="A34" s="67" t="s">
        <v>236</v>
      </c>
      <c r="B34" s="120" t="s">
        <v>237</v>
      </c>
      <c r="C34" s="67" t="s">
        <v>238</v>
      </c>
      <c r="D34" s="86" t="s">
        <v>239</v>
      </c>
      <c r="E34" s="142">
        <v>0</v>
      </c>
      <c r="F34" s="118"/>
      <c r="G34" s="73">
        <f t="shared" si="1"/>
        <v>0</v>
      </c>
      <c r="J34" s="73">
        <f t="shared" si="2"/>
        <v>0</v>
      </c>
      <c r="K34" s="73">
        <f t="shared" si="3"/>
        <v>0</v>
      </c>
      <c r="L34" s="73">
        <f t="shared" si="4"/>
        <v>0</v>
      </c>
    </row>
    <row r="35" spans="1:12" ht="15">
      <c r="A35" s="67" t="s">
        <v>240</v>
      </c>
      <c r="B35" s="120" t="s">
        <v>241</v>
      </c>
      <c r="C35" s="67" t="s">
        <v>242</v>
      </c>
      <c r="D35" s="86" t="s">
        <v>243</v>
      </c>
      <c r="E35" s="142">
        <v>0</v>
      </c>
      <c r="F35" s="118"/>
      <c r="G35" s="73">
        <f t="shared" si="1"/>
        <v>0</v>
      </c>
      <c r="J35" s="73">
        <f t="shared" si="2"/>
        <v>0</v>
      </c>
      <c r="K35" s="73">
        <f t="shared" si="3"/>
        <v>0</v>
      </c>
      <c r="L35" s="73">
        <f t="shared" si="4"/>
        <v>0</v>
      </c>
    </row>
    <row r="36" spans="1:12" ht="15">
      <c r="A36" s="67" t="s">
        <v>244</v>
      </c>
      <c r="B36" s="120" t="s">
        <v>245</v>
      </c>
      <c r="C36" s="67" t="s">
        <v>246</v>
      </c>
      <c r="D36" s="86" t="s">
        <v>247</v>
      </c>
      <c r="E36" s="142">
        <v>0</v>
      </c>
      <c r="F36" s="118"/>
      <c r="G36" s="73">
        <f t="shared" si="1"/>
        <v>0</v>
      </c>
      <c r="J36" s="73">
        <f t="shared" si="2"/>
        <v>0</v>
      </c>
      <c r="K36" s="73">
        <f t="shared" si="3"/>
        <v>0</v>
      </c>
      <c r="L36" s="73">
        <f t="shared" si="4"/>
        <v>0</v>
      </c>
    </row>
    <row r="37" spans="1:12" ht="15">
      <c r="A37" s="67" t="s">
        <v>248</v>
      </c>
      <c r="B37" s="120" t="s">
        <v>249</v>
      </c>
      <c r="C37" s="67" t="s">
        <v>242</v>
      </c>
      <c r="D37" s="86" t="s">
        <v>243</v>
      </c>
      <c r="E37" s="142">
        <v>0</v>
      </c>
      <c r="F37" s="118"/>
      <c r="G37" s="73">
        <f t="shared" si="1"/>
        <v>0</v>
      </c>
      <c r="J37" s="73">
        <f t="shared" si="2"/>
        <v>0</v>
      </c>
      <c r="K37" s="73">
        <f t="shared" si="3"/>
        <v>0</v>
      </c>
      <c r="L37" s="73">
        <f t="shared" si="4"/>
        <v>0</v>
      </c>
    </row>
    <row r="38" spans="1:12" ht="15">
      <c r="A38" s="67" t="s">
        <v>250</v>
      </c>
      <c r="B38" s="120" t="s">
        <v>251</v>
      </c>
      <c r="C38" s="67" t="s">
        <v>252</v>
      </c>
      <c r="D38" s="86">
        <v>21</v>
      </c>
      <c r="E38" s="142">
        <v>0</v>
      </c>
      <c r="F38" s="118"/>
      <c r="G38" s="73">
        <f t="shared" si="1"/>
        <v>0</v>
      </c>
      <c r="J38" s="73">
        <f t="shared" si="2"/>
        <v>0</v>
      </c>
      <c r="K38" s="73">
        <f t="shared" si="3"/>
        <v>0</v>
      </c>
      <c r="L38" s="73">
        <f t="shared" si="4"/>
        <v>0</v>
      </c>
    </row>
    <row r="39" spans="1:12" ht="15">
      <c r="A39" s="67" t="s">
        <v>253</v>
      </c>
      <c r="B39" s="120" t="s">
        <v>254</v>
      </c>
      <c r="C39" s="67" t="s">
        <v>255</v>
      </c>
      <c r="D39" s="86">
        <v>7</v>
      </c>
      <c r="E39" s="142">
        <v>0</v>
      </c>
      <c r="F39" s="118"/>
      <c r="G39" s="73">
        <f t="shared" si="1"/>
        <v>0</v>
      </c>
      <c r="J39" s="73">
        <f t="shared" si="2"/>
        <v>0</v>
      </c>
      <c r="K39" s="73">
        <f t="shared" si="3"/>
        <v>0</v>
      </c>
      <c r="L39" s="73">
        <f t="shared" si="4"/>
        <v>0</v>
      </c>
    </row>
    <row r="40" spans="1:12" ht="15">
      <c r="A40" s="67" t="s">
        <v>256</v>
      </c>
      <c r="B40" s="120" t="s">
        <v>257</v>
      </c>
      <c r="C40" s="67" t="s">
        <v>258</v>
      </c>
      <c r="D40" s="86">
        <v>33</v>
      </c>
      <c r="E40" s="142">
        <v>0</v>
      </c>
      <c r="F40" s="118"/>
      <c r="G40" s="73">
        <f t="shared" si="1"/>
        <v>0</v>
      </c>
      <c r="J40" s="73">
        <f t="shared" si="2"/>
        <v>0</v>
      </c>
      <c r="K40" s="73">
        <f t="shared" si="3"/>
        <v>0</v>
      </c>
      <c r="L40" s="73">
        <f t="shared" si="4"/>
        <v>0</v>
      </c>
    </row>
    <row r="41" spans="1:12" ht="15">
      <c r="A41" s="67" t="s">
        <v>259</v>
      </c>
      <c r="B41" s="120" t="s">
        <v>165</v>
      </c>
      <c r="C41" s="67" t="s">
        <v>260</v>
      </c>
      <c r="D41" s="86" t="s">
        <v>261</v>
      </c>
      <c r="E41" s="142">
        <v>0</v>
      </c>
      <c r="F41" s="118"/>
      <c r="G41" s="73">
        <f t="shared" si="1"/>
        <v>0</v>
      </c>
      <c r="J41" s="73">
        <f t="shared" si="2"/>
        <v>0</v>
      </c>
      <c r="K41" s="73">
        <f t="shared" si="3"/>
        <v>0</v>
      </c>
      <c r="L41" s="73">
        <f t="shared" si="4"/>
        <v>0</v>
      </c>
    </row>
    <row r="42" spans="1:12" ht="15">
      <c r="A42" s="67" t="s">
        <v>262</v>
      </c>
      <c r="B42" s="120" t="s">
        <v>165</v>
      </c>
      <c r="C42" s="67" t="s">
        <v>260</v>
      </c>
      <c r="D42" s="86" t="s">
        <v>261</v>
      </c>
      <c r="E42" s="142">
        <v>0</v>
      </c>
      <c r="F42" s="118"/>
      <c r="G42" s="73">
        <f t="shared" si="1"/>
        <v>0</v>
      </c>
      <c r="J42" s="73">
        <f t="shared" si="2"/>
        <v>0</v>
      </c>
      <c r="K42" s="73">
        <f t="shared" si="3"/>
        <v>0</v>
      </c>
      <c r="L42" s="73">
        <f t="shared" si="4"/>
        <v>0</v>
      </c>
    </row>
    <row r="43" spans="1:12" ht="15">
      <c r="A43" s="67" t="s">
        <v>263</v>
      </c>
      <c r="B43" s="120" t="s">
        <v>264</v>
      </c>
      <c r="C43" s="67" t="s">
        <v>265</v>
      </c>
      <c r="D43" s="86" t="s">
        <v>266</v>
      </c>
      <c r="E43" s="142">
        <v>0</v>
      </c>
      <c r="F43" s="118"/>
      <c r="G43" s="73">
        <f t="shared" si="1"/>
        <v>0</v>
      </c>
      <c r="J43" s="73">
        <f t="shared" si="2"/>
        <v>0</v>
      </c>
      <c r="K43" s="73">
        <f t="shared" si="3"/>
        <v>0</v>
      </c>
      <c r="L43" s="73">
        <f t="shared" si="4"/>
        <v>0</v>
      </c>
    </row>
    <row r="44" spans="1:12" ht="15">
      <c r="A44" s="67" t="s">
        <v>267</v>
      </c>
      <c r="B44" s="120" t="s">
        <v>264</v>
      </c>
      <c r="C44" s="67" t="s">
        <v>265</v>
      </c>
      <c r="D44" s="86" t="s">
        <v>266</v>
      </c>
      <c r="E44" s="142">
        <v>0</v>
      </c>
      <c r="F44" s="118"/>
      <c r="G44" s="73">
        <f t="shared" si="1"/>
        <v>0</v>
      </c>
      <c r="J44" s="73">
        <f t="shared" si="2"/>
        <v>0</v>
      </c>
      <c r="K44" s="73">
        <f t="shared" si="3"/>
        <v>0</v>
      </c>
      <c r="L44" s="73">
        <f t="shared" si="4"/>
        <v>0</v>
      </c>
    </row>
    <row r="45" spans="1:12" ht="15">
      <c r="A45" s="67" t="s">
        <v>268</v>
      </c>
      <c r="B45" s="120" t="s">
        <v>264</v>
      </c>
      <c r="C45" s="67" t="s">
        <v>265</v>
      </c>
      <c r="D45" s="86" t="s">
        <v>266</v>
      </c>
      <c r="E45" s="142">
        <v>0</v>
      </c>
      <c r="F45" s="118"/>
      <c r="G45" s="73">
        <f t="shared" si="1"/>
        <v>0</v>
      </c>
      <c r="J45" s="73">
        <f t="shared" si="2"/>
        <v>0</v>
      </c>
      <c r="K45" s="73">
        <f t="shared" si="3"/>
        <v>0</v>
      </c>
      <c r="L45" s="73">
        <f t="shared" si="4"/>
        <v>0</v>
      </c>
    </row>
    <row r="46" spans="1:12" ht="15">
      <c r="A46" s="67" t="s">
        <v>269</v>
      </c>
      <c r="B46" s="120" t="s">
        <v>264</v>
      </c>
      <c r="C46" s="67" t="s">
        <v>265</v>
      </c>
      <c r="D46" s="86" t="s">
        <v>266</v>
      </c>
      <c r="E46" s="142">
        <v>0</v>
      </c>
      <c r="F46" s="118"/>
      <c r="G46" s="73">
        <f t="shared" si="1"/>
        <v>0</v>
      </c>
      <c r="J46" s="73">
        <f t="shared" si="2"/>
        <v>0</v>
      </c>
      <c r="K46" s="73">
        <f t="shared" si="3"/>
        <v>0</v>
      </c>
      <c r="L46" s="73">
        <f t="shared" si="4"/>
        <v>0</v>
      </c>
    </row>
    <row r="47" spans="1:12" ht="15">
      <c r="A47" s="67" t="s">
        <v>270</v>
      </c>
      <c r="B47" s="120" t="s">
        <v>264</v>
      </c>
      <c r="C47" s="67" t="s">
        <v>265</v>
      </c>
      <c r="D47" s="86" t="s">
        <v>266</v>
      </c>
      <c r="E47" s="142">
        <v>0</v>
      </c>
      <c r="F47" s="118"/>
      <c r="G47" s="73">
        <f t="shared" si="1"/>
        <v>0</v>
      </c>
      <c r="J47" s="73">
        <f t="shared" si="2"/>
        <v>0</v>
      </c>
      <c r="K47" s="73">
        <f t="shared" si="3"/>
        <v>0</v>
      </c>
      <c r="L47" s="73">
        <f t="shared" si="4"/>
        <v>0</v>
      </c>
    </row>
    <row r="48" spans="1:12" ht="15">
      <c r="A48" s="67" t="s">
        <v>271</v>
      </c>
      <c r="B48" s="120" t="s">
        <v>272</v>
      </c>
      <c r="C48" s="67" t="s">
        <v>273</v>
      </c>
      <c r="D48" s="86">
        <v>4</v>
      </c>
      <c r="E48" s="142">
        <v>0</v>
      </c>
      <c r="F48" s="118"/>
      <c r="G48" s="73">
        <f t="shared" si="1"/>
        <v>0</v>
      </c>
      <c r="J48" s="73">
        <f t="shared" si="2"/>
        <v>0</v>
      </c>
      <c r="K48" s="73">
        <f t="shared" si="3"/>
        <v>0</v>
      </c>
      <c r="L48" s="73">
        <f t="shared" si="4"/>
        <v>0</v>
      </c>
    </row>
    <row r="49" spans="1:12" ht="15">
      <c r="A49" s="67" t="s">
        <v>274</v>
      </c>
      <c r="B49" s="120" t="s">
        <v>275</v>
      </c>
      <c r="C49" s="67" t="s">
        <v>276</v>
      </c>
      <c r="D49" s="67">
        <v>3</v>
      </c>
      <c r="E49" s="142">
        <v>0</v>
      </c>
      <c r="F49" s="118"/>
      <c r="G49" s="73">
        <f t="shared" si="1"/>
        <v>0</v>
      </c>
      <c r="J49" s="73">
        <f t="shared" si="2"/>
        <v>0</v>
      </c>
      <c r="K49" s="73">
        <f t="shared" si="3"/>
        <v>0</v>
      </c>
      <c r="L49" s="73">
        <f t="shared" si="4"/>
        <v>0</v>
      </c>
    </row>
    <row r="50" spans="1:12" ht="15">
      <c r="A50" s="67" t="s">
        <v>277</v>
      </c>
      <c r="B50" s="120" t="s">
        <v>275</v>
      </c>
      <c r="C50" s="67" t="s">
        <v>276</v>
      </c>
      <c r="D50" s="67">
        <v>3</v>
      </c>
      <c r="E50" s="142">
        <v>0</v>
      </c>
      <c r="F50" s="118"/>
      <c r="G50" s="73">
        <f t="shared" si="1"/>
        <v>0</v>
      </c>
      <c r="J50" s="73">
        <f t="shared" si="2"/>
        <v>0</v>
      </c>
      <c r="K50" s="73">
        <f t="shared" si="3"/>
        <v>0</v>
      </c>
      <c r="L50" s="73">
        <f t="shared" si="4"/>
        <v>0</v>
      </c>
    </row>
    <row r="51" spans="1:12" ht="15">
      <c r="A51" s="67" t="s">
        <v>278</v>
      </c>
      <c r="B51" s="120" t="s">
        <v>275</v>
      </c>
      <c r="C51" s="67" t="s">
        <v>276</v>
      </c>
      <c r="D51" s="67">
        <v>3</v>
      </c>
      <c r="E51" s="142">
        <v>0</v>
      </c>
      <c r="F51" s="118"/>
      <c r="G51" s="73">
        <f t="shared" si="1"/>
        <v>0</v>
      </c>
      <c r="J51" s="73">
        <f t="shared" si="2"/>
        <v>0</v>
      </c>
      <c r="K51" s="73">
        <f t="shared" si="3"/>
        <v>0</v>
      </c>
      <c r="L51" s="73">
        <f t="shared" si="4"/>
        <v>0</v>
      </c>
    </row>
    <row r="52" spans="1:12" ht="15">
      <c r="A52" s="67" t="s">
        <v>279</v>
      </c>
      <c r="B52" s="120" t="s">
        <v>280</v>
      </c>
      <c r="C52" s="67" t="s">
        <v>276</v>
      </c>
      <c r="D52" s="67">
        <v>3</v>
      </c>
      <c r="E52" s="142">
        <v>0</v>
      </c>
      <c r="F52" s="118"/>
      <c r="G52" s="73">
        <f t="shared" si="1"/>
        <v>0</v>
      </c>
      <c r="J52" s="73">
        <f t="shared" si="2"/>
        <v>0</v>
      </c>
      <c r="K52" s="73">
        <f t="shared" si="3"/>
        <v>0</v>
      </c>
      <c r="L52" s="73">
        <f t="shared" si="4"/>
        <v>0</v>
      </c>
    </row>
    <row r="53" spans="1:12" ht="15">
      <c r="A53" s="67" t="s">
        <v>281</v>
      </c>
      <c r="B53" s="120" t="s">
        <v>282</v>
      </c>
      <c r="C53" s="67" t="s">
        <v>283</v>
      </c>
      <c r="D53" s="86" t="s">
        <v>284</v>
      </c>
      <c r="E53" s="142">
        <v>0</v>
      </c>
      <c r="F53" s="118"/>
      <c r="G53" s="73">
        <f t="shared" si="1"/>
        <v>0</v>
      </c>
      <c r="J53" s="73">
        <f t="shared" si="2"/>
        <v>0</v>
      </c>
      <c r="K53" s="73">
        <f t="shared" si="3"/>
        <v>0</v>
      </c>
      <c r="L53" s="73">
        <f t="shared" si="4"/>
        <v>0</v>
      </c>
    </row>
    <row r="54" spans="1:12" ht="15">
      <c r="A54" s="67" t="s">
        <v>285</v>
      </c>
      <c r="B54" s="120" t="s">
        <v>286</v>
      </c>
      <c r="C54" s="67" t="s">
        <v>287</v>
      </c>
      <c r="D54" s="86">
        <v>25</v>
      </c>
      <c r="E54" s="142">
        <v>0</v>
      </c>
      <c r="F54" s="118"/>
      <c r="G54" s="73">
        <f t="shared" si="1"/>
        <v>0</v>
      </c>
      <c r="J54" s="73">
        <f t="shared" si="2"/>
        <v>0</v>
      </c>
      <c r="K54" s="73">
        <f t="shared" si="3"/>
        <v>0</v>
      </c>
      <c r="L54" s="73">
        <f t="shared" si="4"/>
        <v>0</v>
      </c>
    </row>
    <row r="55" spans="1:12" ht="15">
      <c r="A55" s="67" t="s">
        <v>288</v>
      </c>
      <c r="B55" s="120" t="s">
        <v>289</v>
      </c>
      <c r="C55" s="67" t="s">
        <v>290</v>
      </c>
      <c r="D55" s="86">
        <v>1</v>
      </c>
      <c r="E55" s="142">
        <v>0</v>
      </c>
      <c r="F55" s="118"/>
      <c r="G55" s="73">
        <f t="shared" si="1"/>
        <v>0</v>
      </c>
      <c r="J55" s="73">
        <f t="shared" si="2"/>
        <v>0</v>
      </c>
      <c r="K55" s="73">
        <f t="shared" si="3"/>
        <v>0</v>
      </c>
      <c r="L55" s="73">
        <f t="shared" si="4"/>
        <v>0</v>
      </c>
    </row>
    <row r="56" spans="1:12" ht="15">
      <c r="A56" s="67" t="s">
        <v>291</v>
      </c>
      <c r="B56" s="120" t="s">
        <v>289</v>
      </c>
      <c r="C56" s="67" t="s">
        <v>290</v>
      </c>
      <c r="D56" s="86">
        <v>1</v>
      </c>
      <c r="E56" s="142">
        <v>0</v>
      </c>
      <c r="F56" s="118"/>
      <c r="G56" s="73">
        <f t="shared" si="1"/>
        <v>0</v>
      </c>
      <c r="J56" s="73">
        <f t="shared" si="2"/>
        <v>0</v>
      </c>
      <c r="K56" s="73">
        <f t="shared" si="3"/>
        <v>0</v>
      </c>
      <c r="L56" s="73">
        <f t="shared" si="4"/>
        <v>0</v>
      </c>
    </row>
    <row r="57" spans="1:12" ht="15">
      <c r="A57" s="67" t="s">
        <v>292</v>
      </c>
      <c r="B57" s="120" t="s">
        <v>289</v>
      </c>
      <c r="C57" s="67" t="s">
        <v>290</v>
      </c>
      <c r="D57" s="86">
        <v>1</v>
      </c>
      <c r="E57" s="142">
        <v>0</v>
      </c>
      <c r="F57" s="118"/>
      <c r="G57" s="73">
        <f t="shared" si="1"/>
        <v>0</v>
      </c>
      <c r="J57" s="73">
        <f t="shared" si="2"/>
        <v>0</v>
      </c>
      <c r="K57" s="73">
        <f t="shared" si="3"/>
        <v>0</v>
      </c>
      <c r="L57" s="73">
        <f t="shared" si="4"/>
        <v>0</v>
      </c>
    </row>
    <row r="58" spans="1:12" ht="15">
      <c r="A58" s="67" t="s">
        <v>293</v>
      </c>
      <c r="B58" s="120" t="s">
        <v>289</v>
      </c>
      <c r="C58" s="67" t="s">
        <v>290</v>
      </c>
      <c r="D58" s="86">
        <v>1</v>
      </c>
      <c r="E58" s="142">
        <v>0</v>
      </c>
      <c r="F58" s="118"/>
      <c r="G58" s="73">
        <f t="shared" si="1"/>
        <v>0</v>
      </c>
      <c r="J58" s="73">
        <f t="shared" si="2"/>
        <v>0</v>
      </c>
      <c r="K58" s="73">
        <f t="shared" si="3"/>
        <v>0</v>
      </c>
      <c r="L58" s="73">
        <f t="shared" si="4"/>
        <v>0</v>
      </c>
    </row>
    <row r="59" spans="1:12" ht="15">
      <c r="A59" s="67" t="s">
        <v>294</v>
      </c>
      <c r="B59" s="120" t="s">
        <v>295</v>
      </c>
      <c r="C59" s="67" t="s">
        <v>276</v>
      </c>
      <c r="D59" s="67">
        <v>3</v>
      </c>
      <c r="E59" s="142">
        <v>0</v>
      </c>
      <c r="F59" s="118"/>
      <c r="G59" s="73">
        <f t="shared" si="1"/>
        <v>0</v>
      </c>
      <c r="J59" s="73">
        <f t="shared" si="2"/>
        <v>0</v>
      </c>
      <c r="K59" s="73">
        <f t="shared" si="3"/>
        <v>0</v>
      </c>
      <c r="L59" s="73">
        <f t="shared" si="4"/>
        <v>0</v>
      </c>
    </row>
    <row r="60" spans="1:12" ht="15">
      <c r="A60" s="120" t="s">
        <v>296</v>
      </c>
      <c r="B60" s="120" t="s">
        <v>295</v>
      </c>
      <c r="C60" s="67" t="s">
        <v>276</v>
      </c>
      <c r="D60" s="67">
        <v>3</v>
      </c>
      <c r="E60" s="142">
        <v>0</v>
      </c>
      <c r="F60" s="118"/>
      <c r="G60" s="73">
        <f t="shared" si="1"/>
        <v>0</v>
      </c>
      <c r="J60" s="73">
        <f>G60*H60*I60</f>
        <v>0</v>
      </c>
      <c r="K60" s="73">
        <f>J60*$B$2</f>
        <v>0</v>
      </c>
      <c r="L60" s="73">
        <f>K60/$B$4</f>
        <v>0</v>
      </c>
    </row>
    <row r="61" spans="1:12" ht="15">
      <c r="A61" s="75" t="s">
        <v>297</v>
      </c>
      <c r="B61" s="75" t="s">
        <v>298</v>
      </c>
      <c r="C61" s="66" t="s">
        <v>299</v>
      </c>
      <c r="E61" s="142"/>
      <c r="F61" s="118"/>
      <c r="G61" s="81"/>
      <c r="J61" s="81"/>
      <c r="K61" s="81"/>
      <c r="L61" s="81"/>
    </row>
    <row r="62" spans="1:12" ht="15">
      <c r="A62" s="87"/>
      <c r="E62" s="142">
        <v>0</v>
      </c>
      <c r="F62" s="118"/>
      <c r="G62" s="73">
        <f aca="true" t="shared" si="5" ref="G62:G67">IF(F62=0,0,E62/F62)</f>
        <v>0</v>
      </c>
      <c r="J62" s="73">
        <f aca="true" t="shared" si="6" ref="J62:J67">G62*H62*I62</f>
        <v>0</v>
      </c>
      <c r="K62" s="73">
        <f aca="true" t="shared" si="7" ref="K62:K67">J62*$B$2</f>
        <v>0</v>
      </c>
      <c r="L62" s="73">
        <f aca="true" t="shared" si="8" ref="L62:L67">K62/$B$4</f>
        <v>0</v>
      </c>
    </row>
    <row r="63" spans="5:12" ht="15">
      <c r="E63" s="142">
        <v>0</v>
      </c>
      <c r="F63" s="118"/>
      <c r="G63" s="73">
        <f t="shared" si="5"/>
        <v>0</v>
      </c>
      <c r="J63" s="73">
        <f t="shared" si="6"/>
        <v>0</v>
      </c>
      <c r="K63" s="73">
        <f t="shared" si="7"/>
        <v>0</v>
      </c>
      <c r="L63" s="73">
        <f t="shared" si="8"/>
        <v>0</v>
      </c>
    </row>
    <row r="64" spans="5:12" ht="15">
      <c r="E64" s="142">
        <v>0</v>
      </c>
      <c r="F64" s="118"/>
      <c r="G64" s="73">
        <f t="shared" si="5"/>
        <v>0</v>
      </c>
      <c r="J64" s="73">
        <f t="shared" si="6"/>
        <v>0</v>
      </c>
      <c r="K64" s="73">
        <f t="shared" si="7"/>
        <v>0</v>
      </c>
      <c r="L64" s="73">
        <f t="shared" si="8"/>
        <v>0</v>
      </c>
    </row>
    <row r="65" spans="5:12" ht="15">
      <c r="E65" s="142">
        <v>0</v>
      </c>
      <c r="F65" s="118"/>
      <c r="G65" s="73">
        <f t="shared" si="5"/>
        <v>0</v>
      </c>
      <c r="J65" s="73">
        <f t="shared" si="6"/>
        <v>0</v>
      </c>
      <c r="K65" s="73">
        <f t="shared" si="7"/>
        <v>0</v>
      </c>
      <c r="L65" s="73">
        <f t="shared" si="8"/>
        <v>0</v>
      </c>
    </row>
    <row r="66" spans="5:12" ht="15">
      <c r="E66" s="142">
        <v>0</v>
      </c>
      <c r="F66" s="118"/>
      <c r="G66" s="73">
        <f t="shared" si="5"/>
        <v>0</v>
      </c>
      <c r="J66" s="73">
        <f t="shared" si="6"/>
        <v>0</v>
      </c>
      <c r="K66" s="73">
        <f t="shared" si="7"/>
        <v>0</v>
      </c>
      <c r="L66" s="73">
        <f t="shared" si="8"/>
        <v>0</v>
      </c>
    </row>
    <row r="67" spans="5:12" ht="15">
      <c r="E67" s="142">
        <v>0</v>
      </c>
      <c r="F67" s="118"/>
      <c r="G67" s="73">
        <f t="shared" si="5"/>
        <v>0</v>
      </c>
      <c r="J67" s="73">
        <f t="shared" si="6"/>
        <v>0</v>
      </c>
      <c r="K67" s="73">
        <f t="shared" si="7"/>
        <v>0</v>
      </c>
      <c r="L67" s="73">
        <f t="shared" si="8"/>
        <v>0</v>
      </c>
    </row>
    <row r="68" spans="1:12" ht="15">
      <c r="A68" s="143" t="s">
        <v>149</v>
      </c>
      <c r="B68" s="103"/>
      <c r="C68" s="103"/>
      <c r="D68" s="144"/>
      <c r="E68" s="103"/>
      <c r="F68" s="103"/>
      <c r="G68" s="103"/>
      <c r="H68" s="103"/>
      <c r="I68" s="103"/>
      <c r="J68" s="145">
        <f>SUM(J31:J67)</f>
        <v>0</v>
      </c>
      <c r="K68" s="145">
        <f>SUM(K31:K67)</f>
        <v>0</v>
      </c>
      <c r="L68" s="145">
        <f>SUM(L31:L67)</f>
        <v>0</v>
      </c>
    </row>
    <row r="69" spans="1:12" ht="15">
      <c r="A69" s="88"/>
      <c r="D69" s="72"/>
      <c r="J69" s="71"/>
      <c r="K69" s="71"/>
      <c r="L69" s="71"/>
    </row>
    <row r="70" spans="1:3" ht="15">
      <c r="A70" s="176" t="s">
        <v>497</v>
      </c>
      <c r="B70" s="176"/>
      <c r="C70" s="176"/>
    </row>
    <row r="71" spans="1:2" ht="15">
      <c r="A71" s="136" t="s">
        <v>300</v>
      </c>
      <c r="B71" s="123"/>
    </row>
    <row r="72" spans="1:3" ht="15">
      <c r="A72" s="120" t="s">
        <v>110</v>
      </c>
      <c r="C72" s="81"/>
    </row>
    <row r="73" spans="1:4" ht="15">
      <c r="A73" s="67" t="s">
        <v>83</v>
      </c>
      <c r="D73" s="69"/>
    </row>
    <row r="74" ht="15">
      <c r="A74" s="120" t="s">
        <v>84</v>
      </c>
    </row>
    <row r="75" ht="15">
      <c r="A75" s="67" t="s">
        <v>88</v>
      </c>
    </row>
    <row r="76" ht="15">
      <c r="A76" s="120" t="s">
        <v>89</v>
      </c>
    </row>
    <row r="77" ht="15">
      <c r="A77" s="67" t="s">
        <v>91</v>
      </c>
    </row>
    <row r="78" ht="15">
      <c r="A78" s="120" t="s">
        <v>148</v>
      </c>
    </row>
    <row r="79" ht="15">
      <c r="A79" s="67" t="s">
        <v>147</v>
      </c>
    </row>
    <row r="80" ht="15">
      <c r="A80" s="120" t="s">
        <v>109</v>
      </c>
    </row>
    <row r="81" ht="15">
      <c r="A81" s="67" t="s">
        <v>93</v>
      </c>
    </row>
    <row r="82" ht="15">
      <c r="A82" s="120" t="s">
        <v>146</v>
      </c>
    </row>
    <row r="83" ht="15">
      <c r="A83" s="67" t="s">
        <v>111</v>
      </c>
    </row>
    <row r="84" spans="1:2" ht="15">
      <c r="A84" s="143" t="s">
        <v>145</v>
      </c>
      <c r="B84" s="147">
        <f>SUM(B72:B83)</f>
        <v>0</v>
      </c>
    </row>
    <row r="86" spans="1:2" ht="15">
      <c r="A86" s="148" t="s">
        <v>144</v>
      </c>
      <c r="B86" s="136" t="s">
        <v>143</v>
      </c>
    </row>
    <row r="87" ht="15">
      <c r="A87" s="67" t="s">
        <v>12</v>
      </c>
    </row>
    <row r="88" ht="15">
      <c r="A88" s="67" t="s">
        <v>13</v>
      </c>
    </row>
    <row r="89" ht="15">
      <c r="A89" s="67" t="s">
        <v>13</v>
      </c>
    </row>
    <row r="90" ht="15">
      <c r="A90" s="67" t="s">
        <v>1</v>
      </c>
    </row>
    <row r="91" ht="15">
      <c r="A91" s="67" t="s">
        <v>2</v>
      </c>
    </row>
    <row r="92" spans="1:2" ht="15">
      <c r="A92" s="140" t="s">
        <v>142</v>
      </c>
      <c r="B92" s="147">
        <f>SUM(B87:B91)</f>
        <v>0</v>
      </c>
    </row>
  </sheetData>
  <sheetProtection password="96BD" sheet="1"/>
  <mergeCells count="4">
    <mergeCell ref="E2:K2"/>
    <mergeCell ref="E3:J3"/>
    <mergeCell ref="E14:G14"/>
    <mergeCell ref="A70:C70"/>
  </mergeCells>
  <printOp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sheetPr>
    <tabColor rgb="FF0070C0"/>
  </sheetPr>
  <dimension ref="A1:X112"/>
  <sheetViews>
    <sheetView zoomScalePageLayoutView="0" workbookViewId="0" topLeftCell="A88">
      <selection activeCell="C121" sqref="C121"/>
    </sheetView>
  </sheetViews>
  <sheetFormatPr defaultColWidth="9.140625" defaultRowHeight="15"/>
  <cols>
    <col min="1" max="1" width="35.28125" style="66" bestFit="1" customWidth="1"/>
    <col min="2" max="2" width="32.28125" style="66" bestFit="1" customWidth="1"/>
    <col min="3" max="3" width="40.8515625" style="66" bestFit="1" customWidth="1"/>
    <col min="4" max="4" width="19.8515625" style="66" bestFit="1" customWidth="1"/>
    <col min="5" max="5" width="16.57421875" style="66" bestFit="1" customWidth="1"/>
    <col min="6" max="6" width="35.140625" style="66" bestFit="1" customWidth="1"/>
    <col min="7" max="7" width="12.7109375" style="66" bestFit="1" customWidth="1"/>
    <col min="8" max="8" width="17.57421875" style="66" bestFit="1" customWidth="1"/>
    <col min="9" max="9" width="14.421875" style="66" bestFit="1" customWidth="1"/>
    <col min="10" max="10" width="16.140625" style="66" bestFit="1" customWidth="1"/>
    <col min="11" max="11" width="10.140625" style="66" bestFit="1" customWidth="1"/>
    <col min="12" max="12" width="11.00390625" style="66" bestFit="1" customWidth="1"/>
    <col min="13" max="16384" width="9.140625" style="66" customWidth="1"/>
  </cols>
  <sheetData>
    <row r="1" spans="1:11" ht="21">
      <c r="A1" s="67" t="s">
        <v>464</v>
      </c>
      <c r="B1" s="66">
        <v>20</v>
      </c>
      <c r="E1" s="179" t="s">
        <v>221</v>
      </c>
      <c r="F1" s="179"/>
      <c r="G1" s="179"/>
      <c r="H1" s="179"/>
      <c r="I1" s="179"/>
      <c r="J1" s="179"/>
      <c r="K1" s="179"/>
    </row>
    <row r="2" spans="1:11" ht="15.75">
      <c r="A2" s="67" t="s">
        <v>220</v>
      </c>
      <c r="B2" s="66">
        <v>500</v>
      </c>
      <c r="E2" s="180" t="s">
        <v>219</v>
      </c>
      <c r="F2" s="180"/>
      <c r="G2" s="180"/>
      <c r="H2" s="180"/>
      <c r="I2" s="180"/>
      <c r="J2" s="180"/>
      <c r="K2" s="180"/>
    </row>
    <row r="3" spans="1:11" ht="18.75">
      <c r="A3" s="67" t="s">
        <v>222</v>
      </c>
      <c r="B3" s="67">
        <f>B1*B2</f>
        <v>10000</v>
      </c>
      <c r="C3" s="149" t="s">
        <v>216</v>
      </c>
      <c r="D3" s="150" t="s">
        <v>206</v>
      </c>
      <c r="E3" s="151" t="s">
        <v>215</v>
      </c>
      <c r="F3" s="151" t="s">
        <v>214</v>
      </c>
      <c r="G3" s="151" t="s">
        <v>213</v>
      </c>
      <c r="H3" s="151" t="s">
        <v>212</v>
      </c>
      <c r="I3" s="151" t="s">
        <v>211</v>
      </c>
      <c r="J3" s="151" t="s">
        <v>210</v>
      </c>
      <c r="K3" s="151" t="s">
        <v>209</v>
      </c>
    </row>
    <row r="4" spans="3:11" ht="15">
      <c r="C4" s="67" t="s">
        <v>215</v>
      </c>
      <c r="D4" s="118">
        <v>0</v>
      </c>
      <c r="E4" s="81">
        <f>CONVERT($D4,"oz","oz")</f>
        <v>0</v>
      </c>
      <c r="F4" s="81">
        <f>CONVERT($D4,"oz","tsp")</f>
        <v>0</v>
      </c>
      <c r="G4" s="81">
        <f>CONVERT($D4,"oz","tbs")</f>
        <v>0</v>
      </c>
      <c r="H4" s="81">
        <f>CONVERT($D4,"oz","us_pt")</f>
        <v>0</v>
      </c>
      <c r="I4" s="81">
        <f>CONVERT($D4,"oz","qt")</f>
        <v>0</v>
      </c>
      <c r="J4" s="81">
        <f>CONVERT($D4,"oz","gal")</f>
        <v>0</v>
      </c>
      <c r="K4" s="81">
        <f>CONVERT($D4,"oz","l")</f>
        <v>0</v>
      </c>
    </row>
    <row r="5" spans="3:11" ht="15">
      <c r="C5" s="67" t="s">
        <v>214</v>
      </c>
      <c r="D5" s="118">
        <v>0</v>
      </c>
      <c r="E5" s="81">
        <f>CONVERT($D5,"tsp","oz")</f>
        <v>0</v>
      </c>
      <c r="F5" s="81">
        <f>CONVERT($D5,"tsp","tsp")</f>
        <v>0</v>
      </c>
      <c r="G5" s="81">
        <f>CONVERT($D5,"tsp","tbs")</f>
        <v>0</v>
      </c>
      <c r="H5" s="81">
        <f>CONVERT($D5,"tsp","us_pt")</f>
        <v>0</v>
      </c>
      <c r="I5" s="81">
        <f>CONVERT($D5,"tsp","qt")</f>
        <v>0</v>
      </c>
      <c r="J5" s="81">
        <f>CONVERT($D5,"tsp","gal")</f>
        <v>0</v>
      </c>
      <c r="K5" s="81">
        <f>CONVERT($D5,"tsp","l")</f>
        <v>0</v>
      </c>
    </row>
    <row r="6" spans="3:11" ht="15">
      <c r="C6" s="67" t="s">
        <v>213</v>
      </c>
      <c r="D6" s="118">
        <v>0</v>
      </c>
      <c r="E6" s="81">
        <f>CONVERT($D6,"tbs","oz")</f>
        <v>0</v>
      </c>
      <c r="F6" s="81">
        <f>CONVERT($D6,"tbs","tsp")</f>
        <v>0</v>
      </c>
      <c r="G6" s="81">
        <f>CONVERT($D6,"tbs","tbs")</f>
        <v>0</v>
      </c>
      <c r="H6" s="81">
        <f>CONVERT($D6,"tbs","us_pt")</f>
        <v>0</v>
      </c>
      <c r="I6" s="81">
        <f>CONVERT($D6,"tbs","qt")</f>
        <v>0</v>
      </c>
      <c r="J6" s="81">
        <f>CONVERT($D6,"tbs","gal")</f>
        <v>0</v>
      </c>
      <c r="K6" s="81">
        <f>CONVERT($D6,"tbs","l")</f>
        <v>0</v>
      </c>
    </row>
    <row r="7" spans="3:11" ht="15">
      <c r="C7" s="67" t="s">
        <v>212</v>
      </c>
      <c r="D7" s="118">
        <v>0</v>
      </c>
      <c r="E7" s="81">
        <f>CONVERT($D7,"us_pt","oz")</f>
        <v>0</v>
      </c>
      <c r="F7" s="81">
        <f>CONVERT($D7,"us_pt","tsp")</f>
        <v>0</v>
      </c>
      <c r="G7" s="81">
        <f>CONVERT($D7,"us_pt","tbs")</f>
        <v>0</v>
      </c>
      <c r="H7" s="81">
        <f>CONVERT($D7,"us_pt","us_pt")</f>
        <v>0</v>
      </c>
      <c r="I7" s="81">
        <f>CONVERT($D7,"us_pt","qt")</f>
        <v>0</v>
      </c>
      <c r="J7" s="81">
        <f>CONVERT($D7,"us_pt","gal")</f>
        <v>0</v>
      </c>
      <c r="K7" s="81">
        <f>CONVERT($D7,"us_pt","l")</f>
        <v>0</v>
      </c>
    </row>
    <row r="8" spans="3:11" ht="15">
      <c r="C8" s="67" t="s">
        <v>211</v>
      </c>
      <c r="D8" s="118">
        <v>0</v>
      </c>
      <c r="E8" s="81">
        <f>CONVERT($D8,"qt","oz")</f>
        <v>0</v>
      </c>
      <c r="F8" s="81">
        <f>CONVERT($D8,"qt","tsp")</f>
        <v>0</v>
      </c>
      <c r="G8" s="81">
        <f>CONVERT($D8,"qt","tbs")</f>
        <v>0</v>
      </c>
      <c r="H8" s="81">
        <f>CONVERT($D8,"qt","us_pt")</f>
        <v>0</v>
      </c>
      <c r="I8" s="81">
        <f>CONVERT($D8,"qt","qt")</f>
        <v>0</v>
      </c>
      <c r="J8" s="81">
        <f>CONVERT($D8,"qt","gal")</f>
        <v>0</v>
      </c>
      <c r="K8" s="81">
        <f>CONVERT($D8,"qt","l")</f>
        <v>0</v>
      </c>
    </row>
    <row r="9" spans="3:11" ht="15">
      <c r="C9" s="67" t="s">
        <v>210</v>
      </c>
      <c r="D9" s="118">
        <v>0</v>
      </c>
      <c r="E9" s="81">
        <f>CONVERT($D9,"gal","oz")</f>
        <v>0</v>
      </c>
      <c r="F9" s="81">
        <f>CONVERT($D9,"gal","tsp")</f>
        <v>0</v>
      </c>
      <c r="G9" s="81">
        <f>CONVERT($D9,"gal","tbs")</f>
        <v>0</v>
      </c>
      <c r="H9" s="81">
        <f>CONVERT($D9,"gal","us_pt")</f>
        <v>0</v>
      </c>
      <c r="I9" s="81">
        <f>CONVERT($D9,"gal","qt")</f>
        <v>0</v>
      </c>
      <c r="J9" s="81">
        <f>CONVERT($D9,"gal","gal")</f>
        <v>0</v>
      </c>
      <c r="K9" s="81">
        <f>CONVERT($D9,"gal","l")</f>
        <v>0</v>
      </c>
    </row>
    <row r="10" spans="3:11" ht="15">
      <c r="C10" s="138" t="s">
        <v>209</v>
      </c>
      <c r="D10" s="134">
        <v>0</v>
      </c>
      <c r="E10" s="139">
        <f>CONVERT($D10,"l","oz")</f>
        <v>0</v>
      </c>
      <c r="F10" s="139">
        <f>CONVERT($D10,"l","tsp")</f>
        <v>0</v>
      </c>
      <c r="G10" s="139">
        <f>CONVERT($D10,"l","tbs")</f>
        <v>0</v>
      </c>
      <c r="H10" s="139">
        <f>CONVERT($D10,"l","us_pt")</f>
        <v>0</v>
      </c>
      <c r="I10" s="139">
        <f>CONVERT($D10,"l","qt")</f>
        <v>0</v>
      </c>
      <c r="J10" s="139">
        <f>CONVERT($D10,"l","gal")</f>
        <v>0</v>
      </c>
      <c r="K10" s="139">
        <f>CONVERT($D10,"l","l")</f>
        <v>0</v>
      </c>
    </row>
    <row r="11" spans="3:11" ht="15">
      <c r="C11" s="67" t="s">
        <v>202</v>
      </c>
      <c r="D11" s="118"/>
      <c r="E11" s="81">
        <f>SUM(E4:E10)</f>
        <v>0</v>
      </c>
      <c r="F11" s="81">
        <f aca="true" t="shared" si="0" ref="F11:K11">SUM(F4:F10)</f>
        <v>0</v>
      </c>
      <c r="G11" s="81">
        <f t="shared" si="0"/>
        <v>0</v>
      </c>
      <c r="H11" s="81">
        <f t="shared" si="0"/>
        <v>0</v>
      </c>
      <c r="I11" s="81">
        <f t="shared" si="0"/>
        <v>0</v>
      </c>
      <c r="J11" s="81">
        <f t="shared" si="0"/>
        <v>0</v>
      </c>
      <c r="K11" s="81">
        <f t="shared" si="0"/>
        <v>0</v>
      </c>
    </row>
    <row r="12" spans="3:11" ht="15.75">
      <c r="C12" s="67"/>
      <c r="E12" s="181" t="s">
        <v>208</v>
      </c>
      <c r="F12" s="181"/>
      <c r="G12" s="181"/>
      <c r="H12" s="81"/>
      <c r="I12" s="81"/>
      <c r="J12" s="81"/>
      <c r="K12" s="81"/>
    </row>
    <row r="13" spans="3:11" ht="15.75">
      <c r="C13" s="152" t="s">
        <v>207</v>
      </c>
      <c r="D13" s="150" t="s">
        <v>206</v>
      </c>
      <c r="E13" s="151" t="s">
        <v>205</v>
      </c>
      <c r="F13" s="151" t="s">
        <v>204</v>
      </c>
      <c r="G13" s="151" t="s">
        <v>203</v>
      </c>
      <c r="H13" s="81"/>
      <c r="I13" s="81"/>
      <c r="J13" s="81"/>
      <c r="K13" s="81"/>
    </row>
    <row r="14" spans="3:11" ht="15">
      <c r="C14" s="67" t="s">
        <v>205</v>
      </c>
      <c r="D14" s="118">
        <v>0</v>
      </c>
      <c r="E14" s="81">
        <f>CONVERT($D14,"ozm","ozm")</f>
        <v>0</v>
      </c>
      <c r="F14" s="81">
        <f>CONVERT($D14,"ozm","lbm")</f>
        <v>0</v>
      </c>
      <c r="G14" s="81">
        <f>CONVERT($D14,"ozm","g")</f>
        <v>0</v>
      </c>
      <c r="H14" s="81"/>
      <c r="I14" s="81"/>
      <c r="J14" s="81"/>
      <c r="K14" s="81"/>
    </row>
    <row r="15" spans="3:11" ht="15">
      <c r="C15" s="67" t="s">
        <v>204</v>
      </c>
      <c r="D15" s="118">
        <v>0</v>
      </c>
      <c r="E15" s="81">
        <f>CONVERT($D15,"lbm","ozm")</f>
        <v>0</v>
      </c>
      <c r="F15" s="81">
        <f>CONVERT($D15,"lbm","lbm")</f>
        <v>0</v>
      </c>
      <c r="G15" s="81">
        <f>CONVERT($D15,"lbm","g")</f>
        <v>0</v>
      </c>
      <c r="H15" s="81"/>
      <c r="I15" s="81"/>
      <c r="J15" s="81"/>
      <c r="K15" s="81"/>
    </row>
    <row r="16" spans="3:11" ht="15">
      <c r="C16" s="138" t="s">
        <v>203</v>
      </c>
      <c r="D16" s="134">
        <v>0</v>
      </c>
      <c r="E16" s="139">
        <f>CONVERT($D16,"g","ozm")</f>
        <v>0</v>
      </c>
      <c r="F16" s="139">
        <f>CONVERT($D16,"g","lbm")</f>
        <v>0</v>
      </c>
      <c r="G16" s="139">
        <f>CONVERT($D16,"g","g")</f>
        <v>0</v>
      </c>
      <c r="H16" s="81"/>
      <c r="I16" s="81"/>
      <c r="J16" s="81"/>
      <c r="K16" s="81"/>
    </row>
    <row r="17" spans="3:11" ht="15">
      <c r="C17" s="67" t="s">
        <v>202</v>
      </c>
      <c r="D17" s="118"/>
      <c r="E17" s="81">
        <f>SUM(E14:E16)</f>
        <v>0</v>
      </c>
      <c r="F17" s="81">
        <f>SUM(F14:F16)</f>
        <v>0</v>
      </c>
      <c r="G17" s="81">
        <f>SUM(G14:G16)</f>
        <v>0</v>
      </c>
      <c r="H17" s="81"/>
      <c r="I17" s="81"/>
      <c r="J17" s="81"/>
      <c r="K17" s="81"/>
    </row>
    <row r="18" spans="4:11" ht="15">
      <c r="D18" s="118"/>
      <c r="E18" s="118"/>
      <c r="F18" s="118"/>
      <c r="G18" s="118"/>
      <c r="H18" s="118"/>
      <c r="I18" s="118"/>
      <c r="J18" s="118"/>
      <c r="K18" s="118"/>
    </row>
    <row r="20" spans="1:4" ht="15">
      <c r="A20" s="67"/>
      <c r="B20" s="67"/>
      <c r="C20" s="67"/>
      <c r="D20" s="67"/>
    </row>
    <row r="21" spans="1:12" ht="15">
      <c r="A21" s="67"/>
      <c r="B21" s="67"/>
      <c r="C21" s="67"/>
      <c r="D21" s="67"/>
      <c r="E21" s="82"/>
      <c r="F21" s="83" t="s">
        <v>201</v>
      </c>
      <c r="G21" s="83" t="s">
        <v>200</v>
      </c>
      <c r="H21" s="83" t="s">
        <v>199</v>
      </c>
      <c r="I21" s="83" t="s">
        <v>198</v>
      </c>
      <c r="J21" s="83" t="s">
        <v>197</v>
      </c>
      <c r="K21" s="83" t="s">
        <v>196</v>
      </c>
      <c r="L21" s="83" t="s">
        <v>195</v>
      </c>
    </row>
    <row r="22" spans="1:12" ht="15">
      <c r="A22" s="67"/>
      <c r="B22" s="67"/>
      <c r="C22" s="67"/>
      <c r="D22" s="67"/>
      <c r="E22" s="82" t="s">
        <v>194</v>
      </c>
      <c r="F22" s="83" t="s">
        <v>193</v>
      </c>
      <c r="G22" s="83" t="s">
        <v>192</v>
      </c>
      <c r="H22" s="83" t="s">
        <v>191</v>
      </c>
      <c r="I22" s="83" t="s">
        <v>190</v>
      </c>
      <c r="J22" s="83" t="s">
        <v>189</v>
      </c>
      <c r="K22" s="83" t="s">
        <v>188</v>
      </c>
      <c r="L22" s="83" t="s">
        <v>187</v>
      </c>
    </row>
    <row r="23" spans="1:12" ht="18.75">
      <c r="A23" s="149" t="s">
        <v>184</v>
      </c>
      <c r="B23" s="67"/>
      <c r="C23" s="67"/>
      <c r="D23" s="67"/>
      <c r="E23" s="82"/>
      <c r="F23" s="83" t="s">
        <v>186</v>
      </c>
      <c r="G23" s="82"/>
      <c r="H23" s="82" t="s">
        <v>185</v>
      </c>
      <c r="I23" s="82"/>
      <c r="J23" s="82"/>
      <c r="K23" s="82"/>
      <c r="L23" s="82"/>
    </row>
    <row r="24" spans="1:12" ht="15">
      <c r="A24" s="136" t="s">
        <v>301</v>
      </c>
      <c r="B24" s="136" t="s">
        <v>224</v>
      </c>
      <c r="C24" s="136" t="s">
        <v>225</v>
      </c>
      <c r="D24" s="137" t="s">
        <v>302</v>
      </c>
      <c r="E24" s="136"/>
      <c r="F24" s="137" t="s">
        <v>183</v>
      </c>
      <c r="G24" s="136"/>
      <c r="H24" s="136" t="s">
        <v>182</v>
      </c>
      <c r="I24" s="136"/>
      <c r="J24" s="136"/>
      <c r="K24" s="136"/>
      <c r="L24" s="136"/>
    </row>
    <row r="25" spans="1:21" ht="15">
      <c r="A25" s="82" t="s">
        <v>303</v>
      </c>
      <c r="B25" s="82" t="s">
        <v>304</v>
      </c>
      <c r="C25" s="82" t="s">
        <v>305</v>
      </c>
      <c r="D25" s="85" t="s">
        <v>306</v>
      </c>
      <c r="E25" s="83">
        <v>90</v>
      </c>
      <c r="F25" s="83">
        <v>16</v>
      </c>
      <c r="G25" s="74">
        <v>5.625</v>
      </c>
      <c r="H25" s="83">
        <v>20</v>
      </c>
      <c r="I25" s="83">
        <v>1</v>
      </c>
      <c r="J25" s="74">
        <v>112.5</v>
      </c>
      <c r="K25" s="74">
        <v>2250</v>
      </c>
      <c r="L25" s="74">
        <v>0.225</v>
      </c>
      <c r="N25" s="83"/>
      <c r="O25" s="83"/>
      <c r="P25" s="83"/>
      <c r="Q25" s="83"/>
      <c r="R25" s="83"/>
      <c r="S25" s="83"/>
      <c r="T25" s="83"/>
      <c r="U25" s="83"/>
    </row>
    <row r="26" spans="1:12" ht="15">
      <c r="A26" s="67" t="s">
        <v>307</v>
      </c>
      <c r="B26" s="67" t="s">
        <v>304</v>
      </c>
      <c r="C26" s="67" t="s">
        <v>305</v>
      </c>
      <c r="D26" s="86" t="s">
        <v>306</v>
      </c>
      <c r="G26" s="73">
        <f aca="true" t="shared" si="1" ref="G26:G86">IF(F26=0,0,E26/F26)</f>
        <v>0</v>
      </c>
      <c r="J26" s="73">
        <f aca="true" t="shared" si="2" ref="J26:J85">G26*H26*I26</f>
        <v>0</v>
      </c>
      <c r="K26" s="73">
        <f aca="true" t="shared" si="3" ref="K26:K85">J26*$B$1</f>
        <v>0</v>
      </c>
      <c r="L26" s="73">
        <f aca="true" t="shared" si="4" ref="L26:L85">K26/$B$3</f>
        <v>0</v>
      </c>
    </row>
    <row r="27" spans="1:12" ht="15">
      <c r="A27" s="67" t="s">
        <v>308</v>
      </c>
      <c r="B27" s="67" t="s">
        <v>309</v>
      </c>
      <c r="C27" s="67" t="s">
        <v>310</v>
      </c>
      <c r="D27" s="86" t="s">
        <v>311</v>
      </c>
      <c r="G27" s="73">
        <f t="shared" si="1"/>
        <v>0</v>
      </c>
      <c r="J27" s="73">
        <f t="shared" si="2"/>
        <v>0</v>
      </c>
      <c r="K27" s="73">
        <f t="shared" si="3"/>
        <v>0</v>
      </c>
      <c r="L27" s="73">
        <f t="shared" si="4"/>
        <v>0</v>
      </c>
    </row>
    <row r="28" spans="1:12" ht="15">
      <c r="A28" s="67" t="s">
        <v>312</v>
      </c>
      <c r="B28" s="67" t="s">
        <v>313</v>
      </c>
      <c r="C28" s="67" t="s">
        <v>314</v>
      </c>
      <c r="D28" s="86" t="s">
        <v>315</v>
      </c>
      <c r="G28" s="73">
        <f t="shared" si="1"/>
        <v>0</v>
      </c>
      <c r="J28" s="73">
        <f t="shared" si="2"/>
        <v>0</v>
      </c>
      <c r="K28" s="73">
        <f t="shared" si="3"/>
        <v>0</v>
      </c>
      <c r="L28" s="73">
        <f t="shared" si="4"/>
        <v>0</v>
      </c>
    </row>
    <row r="29" spans="1:24" ht="15">
      <c r="A29" s="67" t="s">
        <v>316</v>
      </c>
      <c r="B29" s="67" t="s">
        <v>317</v>
      </c>
      <c r="C29" s="67" t="s">
        <v>318</v>
      </c>
      <c r="D29" s="86" t="s">
        <v>319</v>
      </c>
      <c r="G29" s="73">
        <f t="shared" si="1"/>
        <v>0</v>
      </c>
      <c r="J29" s="73">
        <f t="shared" si="2"/>
        <v>0</v>
      </c>
      <c r="K29" s="73">
        <f t="shared" si="3"/>
        <v>0</v>
      </c>
      <c r="L29" s="73">
        <f t="shared" si="4"/>
        <v>0</v>
      </c>
      <c r="Q29" s="83"/>
      <c r="R29" s="83"/>
      <c r="S29" s="83"/>
      <c r="T29" s="83"/>
      <c r="U29" s="83"/>
      <c r="V29" s="83"/>
      <c r="W29" s="83"/>
      <c r="X29" s="83"/>
    </row>
    <row r="30" spans="1:12" ht="15">
      <c r="A30" s="67" t="s">
        <v>320</v>
      </c>
      <c r="B30" s="67" t="s">
        <v>317</v>
      </c>
      <c r="C30" s="67" t="s">
        <v>318</v>
      </c>
      <c r="D30" s="86" t="s">
        <v>319</v>
      </c>
      <c r="G30" s="73">
        <f t="shared" si="1"/>
        <v>0</v>
      </c>
      <c r="J30" s="73">
        <f t="shared" si="2"/>
        <v>0</v>
      </c>
      <c r="K30" s="73">
        <f t="shared" si="3"/>
        <v>0</v>
      </c>
      <c r="L30" s="73">
        <f t="shared" si="4"/>
        <v>0</v>
      </c>
    </row>
    <row r="31" spans="1:12" ht="15">
      <c r="A31" s="67" t="s">
        <v>321</v>
      </c>
      <c r="B31" s="67" t="s">
        <v>322</v>
      </c>
      <c r="C31" s="67" t="s">
        <v>323</v>
      </c>
      <c r="D31" s="86" t="s">
        <v>306</v>
      </c>
      <c r="G31" s="73">
        <f t="shared" si="1"/>
        <v>0</v>
      </c>
      <c r="J31" s="73">
        <f t="shared" si="2"/>
        <v>0</v>
      </c>
      <c r="K31" s="73">
        <f t="shared" si="3"/>
        <v>0</v>
      </c>
      <c r="L31" s="73">
        <f t="shared" si="4"/>
        <v>0</v>
      </c>
    </row>
    <row r="32" spans="1:12" ht="15">
      <c r="A32" s="67" t="s">
        <v>324</v>
      </c>
      <c r="B32" s="67" t="s">
        <v>325</v>
      </c>
      <c r="C32" s="67" t="s">
        <v>326</v>
      </c>
      <c r="D32" s="86" t="s">
        <v>302</v>
      </c>
      <c r="G32" s="73">
        <f t="shared" si="1"/>
        <v>0</v>
      </c>
      <c r="J32" s="73">
        <f t="shared" si="2"/>
        <v>0</v>
      </c>
      <c r="K32" s="73">
        <f t="shared" si="3"/>
        <v>0</v>
      </c>
      <c r="L32" s="73">
        <f t="shared" si="4"/>
        <v>0</v>
      </c>
    </row>
    <row r="33" spans="1:12" ht="15">
      <c r="A33" s="67" t="s">
        <v>327</v>
      </c>
      <c r="B33" s="67" t="s">
        <v>328</v>
      </c>
      <c r="C33" s="67" t="s">
        <v>305</v>
      </c>
      <c r="D33" s="86" t="s">
        <v>329</v>
      </c>
      <c r="G33" s="73">
        <f t="shared" si="1"/>
        <v>0</v>
      </c>
      <c r="J33" s="73">
        <f t="shared" si="2"/>
        <v>0</v>
      </c>
      <c r="K33" s="73">
        <f t="shared" si="3"/>
        <v>0</v>
      </c>
      <c r="L33" s="73">
        <f t="shared" si="4"/>
        <v>0</v>
      </c>
    </row>
    <row r="34" spans="1:12" ht="15">
      <c r="A34" s="67" t="s">
        <v>330</v>
      </c>
      <c r="B34" s="67" t="s">
        <v>331</v>
      </c>
      <c r="C34" s="67" t="s">
        <v>332</v>
      </c>
      <c r="D34" s="86" t="s">
        <v>333</v>
      </c>
      <c r="G34" s="73">
        <f t="shared" si="1"/>
        <v>0</v>
      </c>
      <c r="J34" s="73">
        <f t="shared" si="2"/>
        <v>0</v>
      </c>
      <c r="K34" s="73">
        <f t="shared" si="3"/>
        <v>0</v>
      </c>
      <c r="L34" s="73">
        <f t="shared" si="4"/>
        <v>0</v>
      </c>
    </row>
    <row r="35" spans="1:12" ht="15">
      <c r="A35" s="67" t="s">
        <v>334</v>
      </c>
      <c r="B35" s="67" t="s">
        <v>331</v>
      </c>
      <c r="C35" s="67" t="s">
        <v>332</v>
      </c>
      <c r="D35" s="86" t="s">
        <v>333</v>
      </c>
      <c r="G35" s="73">
        <f t="shared" si="1"/>
        <v>0</v>
      </c>
      <c r="J35" s="73">
        <f t="shared" si="2"/>
        <v>0</v>
      </c>
      <c r="K35" s="73">
        <f t="shared" si="3"/>
        <v>0</v>
      </c>
      <c r="L35" s="73">
        <f t="shared" si="4"/>
        <v>0</v>
      </c>
    </row>
    <row r="36" spans="1:12" ht="15">
      <c r="A36" s="67" t="s">
        <v>335</v>
      </c>
      <c r="B36" s="67" t="s">
        <v>336</v>
      </c>
      <c r="C36" s="67" t="s">
        <v>337</v>
      </c>
      <c r="D36" s="86" t="s">
        <v>338</v>
      </c>
      <c r="G36" s="73">
        <f t="shared" si="1"/>
        <v>0</v>
      </c>
      <c r="J36" s="73">
        <f t="shared" si="2"/>
        <v>0</v>
      </c>
      <c r="K36" s="73">
        <f t="shared" si="3"/>
        <v>0</v>
      </c>
      <c r="L36" s="73">
        <f t="shared" si="4"/>
        <v>0</v>
      </c>
    </row>
    <row r="37" spans="1:12" ht="15">
      <c r="A37" s="67" t="s">
        <v>339</v>
      </c>
      <c r="B37" s="67" t="s">
        <v>340</v>
      </c>
      <c r="C37" s="67" t="s">
        <v>341</v>
      </c>
      <c r="D37" s="86" t="s">
        <v>342</v>
      </c>
      <c r="G37" s="73">
        <f t="shared" si="1"/>
        <v>0</v>
      </c>
      <c r="J37" s="73">
        <f t="shared" si="2"/>
        <v>0</v>
      </c>
      <c r="K37" s="73">
        <f t="shared" si="3"/>
        <v>0</v>
      </c>
      <c r="L37" s="73">
        <f t="shared" si="4"/>
        <v>0</v>
      </c>
    </row>
    <row r="38" spans="1:12" ht="15">
      <c r="A38" s="67" t="s">
        <v>343</v>
      </c>
      <c r="B38" s="67" t="s">
        <v>344</v>
      </c>
      <c r="C38" s="67" t="s">
        <v>337</v>
      </c>
      <c r="D38" s="86" t="s">
        <v>345</v>
      </c>
      <c r="G38" s="73">
        <f t="shared" si="1"/>
        <v>0</v>
      </c>
      <c r="J38" s="73">
        <f t="shared" si="2"/>
        <v>0</v>
      </c>
      <c r="K38" s="73">
        <f t="shared" si="3"/>
        <v>0</v>
      </c>
      <c r="L38" s="73">
        <f t="shared" si="4"/>
        <v>0</v>
      </c>
    </row>
    <row r="39" spans="1:12" ht="15">
      <c r="A39" s="67" t="s">
        <v>346</v>
      </c>
      <c r="B39" s="67" t="s">
        <v>347</v>
      </c>
      <c r="C39" s="67" t="s">
        <v>348</v>
      </c>
      <c r="D39" s="86" t="s">
        <v>349</v>
      </c>
      <c r="G39" s="73">
        <f t="shared" si="1"/>
        <v>0</v>
      </c>
      <c r="J39" s="73">
        <f t="shared" si="2"/>
        <v>0</v>
      </c>
      <c r="K39" s="73">
        <f t="shared" si="3"/>
        <v>0</v>
      </c>
      <c r="L39" s="73">
        <f t="shared" si="4"/>
        <v>0</v>
      </c>
    </row>
    <row r="40" spans="1:12" ht="15">
      <c r="A40" s="67" t="s">
        <v>350</v>
      </c>
      <c r="B40" s="67" t="s">
        <v>351</v>
      </c>
      <c r="C40" s="67" t="s">
        <v>352</v>
      </c>
      <c r="D40" s="86" t="s">
        <v>353</v>
      </c>
      <c r="G40" s="73">
        <f t="shared" si="1"/>
        <v>0</v>
      </c>
      <c r="J40" s="73">
        <f t="shared" si="2"/>
        <v>0</v>
      </c>
      <c r="K40" s="73">
        <f t="shared" si="3"/>
        <v>0</v>
      </c>
      <c r="L40" s="73">
        <f t="shared" si="4"/>
        <v>0</v>
      </c>
    </row>
    <row r="41" spans="1:12" ht="15">
      <c r="A41" s="67" t="s">
        <v>354</v>
      </c>
      <c r="B41" s="67" t="s">
        <v>355</v>
      </c>
      <c r="C41" s="67" t="s">
        <v>356</v>
      </c>
      <c r="D41" s="86" t="s">
        <v>306</v>
      </c>
      <c r="G41" s="73">
        <f t="shared" si="1"/>
        <v>0</v>
      </c>
      <c r="J41" s="73">
        <f t="shared" si="2"/>
        <v>0</v>
      </c>
      <c r="K41" s="73">
        <f t="shared" si="3"/>
        <v>0</v>
      </c>
      <c r="L41" s="73">
        <f t="shared" si="4"/>
        <v>0</v>
      </c>
    </row>
    <row r="42" spans="1:12" ht="15">
      <c r="A42" s="75" t="s">
        <v>297</v>
      </c>
      <c r="D42" s="89"/>
      <c r="G42" s="73">
        <f t="shared" si="1"/>
        <v>0</v>
      </c>
      <c r="J42" s="73">
        <f t="shared" si="2"/>
        <v>0</v>
      </c>
      <c r="K42" s="73">
        <f t="shared" si="3"/>
        <v>0</v>
      </c>
      <c r="L42" s="73">
        <f t="shared" si="4"/>
        <v>0</v>
      </c>
    </row>
    <row r="43" spans="4:12" ht="15">
      <c r="D43" s="89"/>
      <c r="G43" s="73">
        <f t="shared" si="1"/>
        <v>0</v>
      </c>
      <c r="J43" s="73">
        <f t="shared" si="2"/>
        <v>0</v>
      </c>
      <c r="K43" s="73">
        <f t="shared" si="3"/>
        <v>0</v>
      </c>
      <c r="L43" s="73">
        <f t="shared" si="4"/>
        <v>0</v>
      </c>
    </row>
    <row r="44" spans="4:12" ht="15">
      <c r="D44" s="89"/>
      <c r="G44" s="73">
        <f t="shared" si="1"/>
        <v>0</v>
      </c>
      <c r="J44" s="73">
        <f t="shared" si="2"/>
        <v>0</v>
      </c>
      <c r="K44" s="73">
        <f t="shared" si="3"/>
        <v>0</v>
      </c>
      <c r="L44" s="73">
        <f t="shared" si="4"/>
        <v>0</v>
      </c>
    </row>
    <row r="45" spans="4:12" ht="15">
      <c r="D45" s="89"/>
      <c r="G45" s="73">
        <f t="shared" si="1"/>
        <v>0</v>
      </c>
      <c r="J45" s="73">
        <f t="shared" si="2"/>
        <v>0</v>
      </c>
      <c r="K45" s="73">
        <f t="shared" si="3"/>
        <v>0</v>
      </c>
      <c r="L45" s="73">
        <f t="shared" si="4"/>
        <v>0</v>
      </c>
    </row>
    <row r="46" spans="4:12" ht="15">
      <c r="D46" s="89"/>
      <c r="G46" s="73">
        <f t="shared" si="1"/>
        <v>0</v>
      </c>
      <c r="J46" s="73">
        <f t="shared" si="2"/>
        <v>0</v>
      </c>
      <c r="K46" s="73">
        <f t="shared" si="3"/>
        <v>0</v>
      </c>
      <c r="L46" s="73">
        <f t="shared" si="4"/>
        <v>0</v>
      </c>
    </row>
    <row r="47" spans="1:12" ht="15">
      <c r="A47" s="82" t="s">
        <v>357</v>
      </c>
      <c r="B47" s="67" t="s">
        <v>224</v>
      </c>
      <c r="C47" s="67"/>
      <c r="D47" s="86"/>
      <c r="G47" s="118"/>
      <c r="J47" s="118"/>
      <c r="K47" s="118"/>
      <c r="L47" s="118"/>
    </row>
    <row r="48" spans="1:12" ht="15">
      <c r="A48" s="67" t="s">
        <v>358</v>
      </c>
      <c r="B48" s="67" t="s">
        <v>359</v>
      </c>
      <c r="C48" s="67" t="s">
        <v>360</v>
      </c>
      <c r="D48" s="86" t="s">
        <v>361</v>
      </c>
      <c r="G48" s="73">
        <f t="shared" si="1"/>
        <v>0</v>
      </c>
      <c r="J48" s="73">
        <f t="shared" si="2"/>
        <v>0</v>
      </c>
      <c r="K48" s="73">
        <f t="shared" si="3"/>
        <v>0</v>
      </c>
      <c r="L48" s="73">
        <f t="shared" si="4"/>
        <v>0</v>
      </c>
    </row>
    <row r="49" spans="1:12" ht="15">
      <c r="A49" s="67" t="s">
        <v>362</v>
      </c>
      <c r="B49" s="67" t="s">
        <v>359</v>
      </c>
      <c r="C49" s="67" t="s">
        <v>360</v>
      </c>
      <c r="D49" s="86" t="s">
        <v>361</v>
      </c>
      <c r="G49" s="73">
        <f t="shared" si="1"/>
        <v>0</v>
      </c>
      <c r="J49" s="73">
        <f t="shared" si="2"/>
        <v>0</v>
      </c>
      <c r="K49" s="73">
        <f t="shared" si="3"/>
        <v>0</v>
      </c>
      <c r="L49" s="73">
        <f t="shared" si="4"/>
        <v>0</v>
      </c>
    </row>
    <row r="50" spans="1:12" ht="15">
      <c r="A50" s="67" t="s">
        <v>363</v>
      </c>
      <c r="B50" s="67" t="s">
        <v>364</v>
      </c>
      <c r="C50" s="67" t="s">
        <v>365</v>
      </c>
      <c r="D50" s="86" t="s">
        <v>333</v>
      </c>
      <c r="G50" s="73">
        <f t="shared" si="1"/>
        <v>0</v>
      </c>
      <c r="J50" s="73">
        <f t="shared" si="2"/>
        <v>0</v>
      </c>
      <c r="K50" s="73">
        <f t="shared" si="3"/>
        <v>0</v>
      </c>
      <c r="L50" s="73">
        <f t="shared" si="4"/>
        <v>0</v>
      </c>
    </row>
    <row r="51" spans="1:12" ht="15">
      <c r="A51" s="67" t="s">
        <v>366</v>
      </c>
      <c r="B51" s="67" t="s">
        <v>367</v>
      </c>
      <c r="C51" s="67" t="s">
        <v>368</v>
      </c>
      <c r="D51" s="86" t="s">
        <v>319</v>
      </c>
      <c r="G51" s="73">
        <f t="shared" si="1"/>
        <v>0</v>
      </c>
      <c r="J51" s="73">
        <f t="shared" si="2"/>
        <v>0</v>
      </c>
      <c r="K51" s="73">
        <f t="shared" si="3"/>
        <v>0</v>
      </c>
      <c r="L51" s="73">
        <f t="shared" si="4"/>
        <v>0</v>
      </c>
    </row>
    <row r="52" spans="1:12" ht="15">
      <c r="A52" s="67" t="s">
        <v>369</v>
      </c>
      <c r="B52" s="67" t="s">
        <v>370</v>
      </c>
      <c r="C52" s="67" t="s">
        <v>360</v>
      </c>
      <c r="D52" s="86" t="s">
        <v>371</v>
      </c>
      <c r="G52" s="73">
        <f t="shared" si="1"/>
        <v>0</v>
      </c>
      <c r="J52" s="73">
        <f t="shared" si="2"/>
        <v>0</v>
      </c>
      <c r="K52" s="73">
        <f t="shared" si="3"/>
        <v>0</v>
      </c>
      <c r="L52" s="73">
        <f t="shared" si="4"/>
        <v>0</v>
      </c>
    </row>
    <row r="53" spans="1:12" ht="15">
      <c r="A53" s="67" t="s">
        <v>372</v>
      </c>
      <c r="B53" s="67" t="s">
        <v>373</v>
      </c>
      <c r="C53" s="67" t="s">
        <v>374</v>
      </c>
      <c r="D53" s="86" t="s">
        <v>375</v>
      </c>
      <c r="G53" s="73">
        <f t="shared" si="1"/>
        <v>0</v>
      </c>
      <c r="J53" s="73">
        <f t="shared" si="2"/>
        <v>0</v>
      </c>
      <c r="K53" s="73">
        <f t="shared" si="3"/>
        <v>0</v>
      </c>
      <c r="L53" s="73">
        <f t="shared" si="4"/>
        <v>0</v>
      </c>
    </row>
    <row r="54" spans="1:12" ht="15">
      <c r="A54" s="67" t="s">
        <v>376</v>
      </c>
      <c r="B54" s="67" t="s">
        <v>373</v>
      </c>
      <c r="C54" s="67" t="s">
        <v>374</v>
      </c>
      <c r="D54" s="86" t="s">
        <v>375</v>
      </c>
      <c r="G54" s="73">
        <f t="shared" si="1"/>
        <v>0</v>
      </c>
      <c r="J54" s="73">
        <f t="shared" si="2"/>
        <v>0</v>
      </c>
      <c r="K54" s="73">
        <f t="shared" si="3"/>
        <v>0</v>
      </c>
      <c r="L54" s="73">
        <f t="shared" si="4"/>
        <v>0</v>
      </c>
    </row>
    <row r="55" spans="1:12" ht="15">
      <c r="A55" s="67" t="s">
        <v>377</v>
      </c>
      <c r="B55" s="67" t="s">
        <v>378</v>
      </c>
      <c r="C55" s="67" t="s">
        <v>379</v>
      </c>
      <c r="D55" s="86" t="s">
        <v>380</v>
      </c>
      <c r="G55" s="73">
        <f t="shared" si="1"/>
        <v>0</v>
      </c>
      <c r="J55" s="73">
        <f t="shared" si="2"/>
        <v>0</v>
      </c>
      <c r="K55" s="73">
        <f t="shared" si="3"/>
        <v>0</v>
      </c>
      <c r="L55" s="73">
        <f t="shared" si="4"/>
        <v>0</v>
      </c>
    </row>
    <row r="56" spans="1:12" ht="15">
      <c r="A56" s="67" t="s">
        <v>381</v>
      </c>
      <c r="B56" s="67" t="s">
        <v>382</v>
      </c>
      <c r="C56" s="67" t="s">
        <v>383</v>
      </c>
      <c r="D56" s="86" t="s">
        <v>384</v>
      </c>
      <c r="G56" s="73">
        <f t="shared" si="1"/>
        <v>0</v>
      </c>
      <c r="J56" s="73">
        <f t="shared" si="2"/>
        <v>0</v>
      </c>
      <c r="K56" s="73">
        <f t="shared" si="3"/>
        <v>0</v>
      </c>
      <c r="L56" s="73">
        <f t="shared" si="4"/>
        <v>0</v>
      </c>
    </row>
    <row r="57" spans="1:12" ht="15">
      <c r="A57" s="67" t="s">
        <v>385</v>
      </c>
      <c r="B57" s="67" t="s">
        <v>386</v>
      </c>
      <c r="C57" s="67" t="s">
        <v>387</v>
      </c>
      <c r="D57" s="86" t="s">
        <v>319</v>
      </c>
      <c r="G57" s="73">
        <f t="shared" si="1"/>
        <v>0</v>
      </c>
      <c r="J57" s="73">
        <f t="shared" si="2"/>
        <v>0</v>
      </c>
      <c r="K57" s="73">
        <f t="shared" si="3"/>
        <v>0</v>
      </c>
      <c r="L57" s="73">
        <f t="shared" si="4"/>
        <v>0</v>
      </c>
    </row>
    <row r="58" spans="1:12" ht="15">
      <c r="A58" s="90" t="s">
        <v>388</v>
      </c>
      <c r="B58" s="67" t="s">
        <v>389</v>
      </c>
      <c r="C58" s="67" t="s">
        <v>390</v>
      </c>
      <c r="D58" s="86" t="s">
        <v>391</v>
      </c>
      <c r="G58" s="73">
        <f t="shared" si="1"/>
        <v>0</v>
      </c>
      <c r="J58" s="73">
        <f t="shared" si="2"/>
        <v>0</v>
      </c>
      <c r="K58" s="73">
        <f t="shared" si="3"/>
        <v>0</v>
      </c>
      <c r="L58" s="73">
        <f t="shared" si="4"/>
        <v>0</v>
      </c>
    </row>
    <row r="59" spans="1:12" ht="15">
      <c r="A59" s="90" t="s">
        <v>392</v>
      </c>
      <c r="B59" s="67" t="s">
        <v>393</v>
      </c>
      <c r="C59" s="67" t="s">
        <v>394</v>
      </c>
      <c r="D59" s="86" t="s">
        <v>391</v>
      </c>
      <c r="G59" s="73">
        <f t="shared" si="1"/>
        <v>0</v>
      </c>
      <c r="J59" s="73">
        <f t="shared" si="2"/>
        <v>0</v>
      </c>
      <c r="K59" s="73">
        <f t="shared" si="3"/>
        <v>0</v>
      </c>
      <c r="L59" s="73">
        <f t="shared" si="4"/>
        <v>0</v>
      </c>
    </row>
    <row r="60" spans="1:12" ht="15">
      <c r="A60" s="67" t="s">
        <v>395</v>
      </c>
      <c r="B60" s="67" t="s">
        <v>370</v>
      </c>
      <c r="C60" s="67" t="s">
        <v>360</v>
      </c>
      <c r="D60" s="86" t="s">
        <v>361</v>
      </c>
      <c r="G60" s="73">
        <f t="shared" si="1"/>
        <v>0</v>
      </c>
      <c r="J60" s="73">
        <f t="shared" si="2"/>
        <v>0</v>
      </c>
      <c r="K60" s="73">
        <f t="shared" si="3"/>
        <v>0</v>
      </c>
      <c r="L60" s="73">
        <f t="shared" si="4"/>
        <v>0</v>
      </c>
    </row>
    <row r="61" spans="1:12" ht="15">
      <c r="A61" s="67" t="s">
        <v>396</v>
      </c>
      <c r="B61" s="67" t="s">
        <v>370</v>
      </c>
      <c r="C61" s="67" t="s">
        <v>360</v>
      </c>
      <c r="D61" s="86" t="s">
        <v>361</v>
      </c>
      <c r="G61" s="73">
        <f t="shared" si="1"/>
        <v>0</v>
      </c>
      <c r="J61" s="73">
        <f t="shared" si="2"/>
        <v>0</v>
      </c>
      <c r="K61" s="73">
        <f t="shared" si="3"/>
        <v>0</v>
      </c>
      <c r="L61" s="73">
        <f t="shared" si="4"/>
        <v>0</v>
      </c>
    </row>
    <row r="62" spans="1:12" ht="15">
      <c r="A62" s="67" t="s">
        <v>397</v>
      </c>
      <c r="B62" s="67" t="s">
        <v>370</v>
      </c>
      <c r="C62" s="67" t="s">
        <v>360</v>
      </c>
      <c r="D62" s="86" t="s">
        <v>361</v>
      </c>
      <c r="G62" s="73">
        <f t="shared" si="1"/>
        <v>0</v>
      </c>
      <c r="J62" s="73">
        <f t="shared" si="2"/>
        <v>0</v>
      </c>
      <c r="K62" s="73">
        <f t="shared" si="3"/>
        <v>0</v>
      </c>
      <c r="L62" s="73">
        <f t="shared" si="4"/>
        <v>0</v>
      </c>
    </row>
    <row r="63" spans="1:12" ht="15">
      <c r="A63" s="67" t="s">
        <v>398</v>
      </c>
      <c r="B63" s="67" t="s">
        <v>399</v>
      </c>
      <c r="C63" s="67" t="s">
        <v>400</v>
      </c>
      <c r="D63" s="86" t="s">
        <v>375</v>
      </c>
      <c r="G63" s="73">
        <f t="shared" si="1"/>
        <v>0</v>
      </c>
      <c r="J63" s="73">
        <f t="shared" si="2"/>
        <v>0</v>
      </c>
      <c r="K63" s="73">
        <f t="shared" si="3"/>
        <v>0</v>
      </c>
      <c r="L63" s="73">
        <f t="shared" si="4"/>
        <v>0</v>
      </c>
    </row>
    <row r="64" spans="1:12" ht="15">
      <c r="A64" s="90" t="s">
        <v>401</v>
      </c>
      <c r="B64" s="67" t="s">
        <v>402</v>
      </c>
      <c r="C64" s="67" t="s">
        <v>379</v>
      </c>
      <c r="D64" s="86" t="s">
        <v>380</v>
      </c>
      <c r="G64" s="73">
        <f t="shared" si="1"/>
        <v>0</v>
      </c>
      <c r="J64" s="73">
        <f t="shared" si="2"/>
        <v>0</v>
      </c>
      <c r="K64" s="73">
        <f t="shared" si="3"/>
        <v>0</v>
      </c>
      <c r="L64" s="73">
        <f t="shared" si="4"/>
        <v>0</v>
      </c>
    </row>
    <row r="65" spans="1:12" ht="15">
      <c r="A65" s="67" t="s">
        <v>403</v>
      </c>
      <c r="B65" s="67" t="s">
        <v>359</v>
      </c>
      <c r="C65" s="67" t="s">
        <v>360</v>
      </c>
      <c r="D65" s="86" t="s">
        <v>361</v>
      </c>
      <c r="G65" s="73">
        <f t="shared" si="1"/>
        <v>0</v>
      </c>
      <c r="J65" s="73">
        <f t="shared" si="2"/>
        <v>0</v>
      </c>
      <c r="K65" s="73">
        <f t="shared" si="3"/>
        <v>0</v>
      </c>
      <c r="L65" s="73">
        <f t="shared" si="4"/>
        <v>0</v>
      </c>
    </row>
    <row r="66" spans="1:12" ht="15">
      <c r="A66" s="67" t="s">
        <v>404</v>
      </c>
      <c r="B66" s="67" t="s">
        <v>405</v>
      </c>
      <c r="C66" s="67" t="s">
        <v>406</v>
      </c>
      <c r="D66" s="86" t="s">
        <v>333</v>
      </c>
      <c r="G66" s="73">
        <f t="shared" si="1"/>
        <v>0</v>
      </c>
      <c r="J66" s="73">
        <f t="shared" si="2"/>
        <v>0</v>
      </c>
      <c r="K66" s="73">
        <f t="shared" si="3"/>
        <v>0</v>
      </c>
      <c r="L66" s="73">
        <f t="shared" si="4"/>
        <v>0</v>
      </c>
    </row>
    <row r="67" spans="1:12" ht="15">
      <c r="A67" s="67" t="s">
        <v>407</v>
      </c>
      <c r="B67" s="67" t="s">
        <v>408</v>
      </c>
      <c r="C67" s="67" t="s">
        <v>390</v>
      </c>
      <c r="D67" s="86" t="s">
        <v>391</v>
      </c>
      <c r="G67" s="73">
        <f t="shared" si="1"/>
        <v>0</v>
      </c>
      <c r="J67" s="73">
        <f t="shared" si="2"/>
        <v>0</v>
      </c>
      <c r="K67" s="73">
        <f t="shared" si="3"/>
        <v>0</v>
      </c>
      <c r="L67" s="73">
        <f t="shared" si="4"/>
        <v>0</v>
      </c>
    </row>
    <row r="68" spans="1:12" ht="15">
      <c r="A68" s="67" t="s">
        <v>409</v>
      </c>
      <c r="B68" s="67" t="s">
        <v>410</v>
      </c>
      <c r="C68" s="67" t="s">
        <v>411</v>
      </c>
      <c r="D68" s="86" t="s">
        <v>333</v>
      </c>
      <c r="G68" s="73">
        <f t="shared" si="1"/>
        <v>0</v>
      </c>
      <c r="J68" s="73">
        <f t="shared" si="2"/>
        <v>0</v>
      </c>
      <c r="K68" s="73">
        <f t="shared" si="3"/>
        <v>0</v>
      </c>
      <c r="L68" s="73">
        <f t="shared" si="4"/>
        <v>0</v>
      </c>
    </row>
    <row r="69" spans="1:12" ht="15">
      <c r="A69" s="67" t="s">
        <v>412</v>
      </c>
      <c r="B69" s="67" t="s">
        <v>410</v>
      </c>
      <c r="C69" s="67" t="s">
        <v>411</v>
      </c>
      <c r="D69" s="86" t="s">
        <v>333</v>
      </c>
      <c r="G69" s="73">
        <f t="shared" si="1"/>
        <v>0</v>
      </c>
      <c r="J69" s="73">
        <f t="shared" si="2"/>
        <v>0</v>
      </c>
      <c r="K69" s="73">
        <f t="shared" si="3"/>
        <v>0</v>
      </c>
      <c r="L69" s="73">
        <f t="shared" si="4"/>
        <v>0</v>
      </c>
    </row>
    <row r="70" spans="1:12" ht="15">
      <c r="A70" s="67" t="s">
        <v>413</v>
      </c>
      <c r="B70" s="67" t="s">
        <v>414</v>
      </c>
      <c r="C70" s="67" t="s">
        <v>394</v>
      </c>
      <c r="D70" s="86" t="s">
        <v>391</v>
      </c>
      <c r="G70" s="73">
        <f t="shared" si="1"/>
        <v>0</v>
      </c>
      <c r="J70" s="73">
        <f t="shared" si="2"/>
        <v>0</v>
      </c>
      <c r="K70" s="73">
        <f t="shared" si="3"/>
        <v>0</v>
      </c>
      <c r="L70" s="73">
        <f t="shared" si="4"/>
        <v>0</v>
      </c>
    </row>
    <row r="71" spans="1:12" ht="15">
      <c r="A71" s="67" t="s">
        <v>415</v>
      </c>
      <c r="B71" s="67" t="s">
        <v>416</v>
      </c>
      <c r="C71" s="67" t="s">
        <v>417</v>
      </c>
      <c r="D71" s="86" t="s">
        <v>418</v>
      </c>
      <c r="G71" s="73">
        <f t="shared" si="1"/>
        <v>0</v>
      </c>
      <c r="J71" s="73">
        <f t="shared" si="2"/>
        <v>0</v>
      </c>
      <c r="K71" s="73">
        <f t="shared" si="3"/>
        <v>0</v>
      </c>
      <c r="L71" s="73">
        <f t="shared" si="4"/>
        <v>0</v>
      </c>
    </row>
    <row r="72" spans="1:12" ht="15">
      <c r="A72" s="67" t="s">
        <v>419</v>
      </c>
      <c r="B72" s="67" t="s">
        <v>420</v>
      </c>
      <c r="C72" s="67" t="s">
        <v>421</v>
      </c>
      <c r="D72" s="86" t="s">
        <v>422</v>
      </c>
      <c r="G72" s="73">
        <f t="shared" si="1"/>
        <v>0</v>
      </c>
      <c r="J72" s="73">
        <f t="shared" si="2"/>
        <v>0</v>
      </c>
      <c r="K72" s="73">
        <f t="shared" si="3"/>
        <v>0</v>
      </c>
      <c r="L72" s="73">
        <f t="shared" si="4"/>
        <v>0</v>
      </c>
    </row>
    <row r="73" spans="1:12" ht="15">
      <c r="A73" s="67" t="s">
        <v>423</v>
      </c>
      <c r="B73" s="67" t="s">
        <v>420</v>
      </c>
      <c r="C73" s="67" t="s">
        <v>421</v>
      </c>
      <c r="D73" s="86" t="s">
        <v>422</v>
      </c>
      <c r="G73" s="73">
        <f t="shared" si="1"/>
        <v>0</v>
      </c>
      <c r="J73" s="73">
        <f t="shared" si="2"/>
        <v>0</v>
      </c>
      <c r="K73" s="73">
        <f t="shared" si="3"/>
        <v>0</v>
      </c>
      <c r="L73" s="73">
        <f t="shared" si="4"/>
        <v>0</v>
      </c>
    </row>
    <row r="74" spans="1:12" ht="15">
      <c r="A74" s="67" t="s">
        <v>424</v>
      </c>
      <c r="B74" s="67" t="s">
        <v>425</v>
      </c>
      <c r="C74" s="67" t="s">
        <v>426</v>
      </c>
      <c r="D74" s="86" t="s">
        <v>418</v>
      </c>
      <c r="G74" s="73">
        <f t="shared" si="1"/>
        <v>0</v>
      </c>
      <c r="J74" s="73">
        <f t="shared" si="2"/>
        <v>0</v>
      </c>
      <c r="K74" s="73">
        <f t="shared" si="3"/>
        <v>0</v>
      </c>
      <c r="L74" s="73">
        <f t="shared" si="4"/>
        <v>0</v>
      </c>
    </row>
    <row r="75" spans="1:12" ht="15">
      <c r="A75" s="67" t="s">
        <v>427</v>
      </c>
      <c r="B75" s="67" t="s">
        <v>364</v>
      </c>
      <c r="C75" s="67" t="s">
        <v>365</v>
      </c>
      <c r="D75" s="86" t="s">
        <v>333</v>
      </c>
      <c r="G75" s="73">
        <f t="shared" si="1"/>
        <v>0</v>
      </c>
      <c r="J75" s="73">
        <f t="shared" si="2"/>
        <v>0</v>
      </c>
      <c r="K75" s="73">
        <f t="shared" si="3"/>
        <v>0</v>
      </c>
      <c r="L75" s="73">
        <f t="shared" si="4"/>
        <v>0</v>
      </c>
    </row>
    <row r="76" spans="1:12" ht="15">
      <c r="A76" s="67" t="s">
        <v>428</v>
      </c>
      <c r="B76" s="67" t="s">
        <v>429</v>
      </c>
      <c r="C76" s="67" t="s">
        <v>360</v>
      </c>
      <c r="D76" s="86" t="s">
        <v>361</v>
      </c>
      <c r="G76" s="73">
        <f t="shared" si="1"/>
        <v>0</v>
      </c>
      <c r="J76" s="73">
        <f t="shared" si="2"/>
        <v>0</v>
      </c>
      <c r="K76" s="73">
        <f t="shared" si="3"/>
        <v>0</v>
      </c>
      <c r="L76" s="73">
        <f t="shared" si="4"/>
        <v>0</v>
      </c>
    </row>
    <row r="77" spans="1:12" ht="15">
      <c r="A77" s="67" t="s">
        <v>430</v>
      </c>
      <c r="B77" s="67" t="s">
        <v>429</v>
      </c>
      <c r="C77" s="67" t="s">
        <v>360</v>
      </c>
      <c r="D77" s="86" t="s">
        <v>361</v>
      </c>
      <c r="G77" s="73">
        <f t="shared" si="1"/>
        <v>0</v>
      </c>
      <c r="J77" s="73">
        <f t="shared" si="2"/>
        <v>0</v>
      </c>
      <c r="K77" s="73">
        <f t="shared" si="3"/>
        <v>0</v>
      </c>
      <c r="L77" s="73">
        <f t="shared" si="4"/>
        <v>0</v>
      </c>
    </row>
    <row r="78" spans="1:12" ht="15">
      <c r="A78" s="67" t="s">
        <v>431</v>
      </c>
      <c r="B78" s="67" t="s">
        <v>432</v>
      </c>
      <c r="C78" s="67" t="s">
        <v>387</v>
      </c>
      <c r="D78" s="86" t="s">
        <v>375</v>
      </c>
      <c r="G78" s="73">
        <f t="shared" si="1"/>
        <v>0</v>
      </c>
      <c r="J78" s="73">
        <f t="shared" si="2"/>
        <v>0</v>
      </c>
      <c r="K78" s="73">
        <f t="shared" si="3"/>
        <v>0</v>
      </c>
      <c r="L78" s="73">
        <f t="shared" si="4"/>
        <v>0</v>
      </c>
    </row>
    <row r="79" spans="1:12" ht="15">
      <c r="A79" s="67" t="s">
        <v>433</v>
      </c>
      <c r="B79" s="67" t="s">
        <v>434</v>
      </c>
      <c r="C79" s="67" t="s">
        <v>360</v>
      </c>
      <c r="D79" s="86" t="s">
        <v>361</v>
      </c>
      <c r="G79" s="73">
        <f t="shared" si="1"/>
        <v>0</v>
      </c>
      <c r="J79" s="73">
        <f t="shared" si="2"/>
        <v>0</v>
      </c>
      <c r="K79" s="73">
        <f t="shared" si="3"/>
        <v>0</v>
      </c>
      <c r="L79" s="73">
        <f t="shared" si="4"/>
        <v>0</v>
      </c>
    </row>
    <row r="80" spans="1:12" ht="15">
      <c r="A80" s="67" t="s">
        <v>435</v>
      </c>
      <c r="B80" s="67" t="s">
        <v>436</v>
      </c>
      <c r="C80" s="67" t="s">
        <v>437</v>
      </c>
      <c r="D80" s="86" t="s">
        <v>438</v>
      </c>
      <c r="G80" s="73">
        <f t="shared" si="1"/>
        <v>0</v>
      </c>
      <c r="J80" s="73">
        <f t="shared" si="2"/>
        <v>0</v>
      </c>
      <c r="K80" s="73">
        <f t="shared" si="3"/>
        <v>0</v>
      </c>
      <c r="L80" s="73">
        <f t="shared" si="4"/>
        <v>0</v>
      </c>
    </row>
    <row r="81" spans="1:12" ht="15">
      <c r="A81" s="67" t="s">
        <v>439</v>
      </c>
      <c r="B81" s="67" t="s">
        <v>440</v>
      </c>
      <c r="C81" s="67" t="s">
        <v>360</v>
      </c>
      <c r="D81" s="86" t="s">
        <v>361</v>
      </c>
      <c r="G81" s="73">
        <f t="shared" si="1"/>
        <v>0</v>
      </c>
      <c r="J81" s="73">
        <f t="shared" si="2"/>
        <v>0</v>
      </c>
      <c r="K81" s="73">
        <f t="shared" si="3"/>
        <v>0</v>
      </c>
      <c r="L81" s="73">
        <f t="shared" si="4"/>
        <v>0</v>
      </c>
    </row>
    <row r="82" spans="1:12" ht="15">
      <c r="A82" s="75" t="s">
        <v>297</v>
      </c>
      <c r="G82" s="73">
        <f t="shared" si="1"/>
        <v>0</v>
      </c>
      <c r="J82" s="73">
        <f t="shared" si="2"/>
        <v>0</v>
      </c>
      <c r="K82" s="73">
        <f t="shared" si="3"/>
        <v>0</v>
      </c>
      <c r="L82" s="73">
        <f t="shared" si="4"/>
        <v>0</v>
      </c>
    </row>
    <row r="83" spans="1:12" ht="15">
      <c r="A83" s="87"/>
      <c r="G83" s="73">
        <f t="shared" si="1"/>
        <v>0</v>
      </c>
      <c r="J83" s="73">
        <f t="shared" si="2"/>
        <v>0</v>
      </c>
      <c r="K83" s="73">
        <f t="shared" si="3"/>
        <v>0</v>
      </c>
      <c r="L83" s="73">
        <f t="shared" si="4"/>
        <v>0</v>
      </c>
    </row>
    <row r="84" spans="7:12" ht="15">
      <c r="G84" s="73">
        <f t="shared" si="1"/>
        <v>0</v>
      </c>
      <c r="J84" s="73">
        <f t="shared" si="2"/>
        <v>0</v>
      </c>
      <c r="K84" s="73">
        <f t="shared" si="3"/>
        <v>0</v>
      </c>
      <c r="L84" s="73">
        <f t="shared" si="4"/>
        <v>0</v>
      </c>
    </row>
    <row r="85" spans="7:12" ht="15">
      <c r="G85" s="73">
        <f t="shared" si="1"/>
        <v>0</v>
      </c>
      <c r="J85" s="73">
        <f t="shared" si="2"/>
        <v>0</v>
      </c>
      <c r="K85" s="73">
        <f t="shared" si="3"/>
        <v>0</v>
      </c>
      <c r="L85" s="73">
        <f t="shared" si="4"/>
        <v>0</v>
      </c>
    </row>
    <row r="86" spans="1:12" ht="15">
      <c r="A86" s="123"/>
      <c r="B86" s="123"/>
      <c r="C86" s="123"/>
      <c r="D86" s="123"/>
      <c r="E86" s="123"/>
      <c r="F86" s="123"/>
      <c r="G86" s="133">
        <f t="shared" si="1"/>
        <v>0</v>
      </c>
      <c r="H86" s="123"/>
      <c r="I86" s="123"/>
      <c r="J86" s="133">
        <f>G86*H86*I86</f>
        <v>0</v>
      </c>
      <c r="K86" s="133">
        <f>J86*$B$1</f>
        <v>0</v>
      </c>
      <c r="L86" s="133">
        <f>K86/$B$3</f>
        <v>0</v>
      </c>
    </row>
    <row r="87" spans="1:12" ht="15">
      <c r="A87" s="88" t="s">
        <v>149</v>
      </c>
      <c r="D87" s="72"/>
      <c r="J87" s="73">
        <f>SUM(J26:J86)</f>
        <v>0</v>
      </c>
      <c r="K87" s="73">
        <f>SUM(K26:K86)</f>
        <v>0</v>
      </c>
      <c r="L87" s="73">
        <f>SUM(L26:L86)</f>
        <v>0</v>
      </c>
    </row>
    <row r="88" spans="1:12" ht="15">
      <c r="A88" s="88"/>
      <c r="D88" s="72"/>
      <c r="J88" s="73"/>
      <c r="K88" s="73"/>
      <c r="L88" s="73"/>
    </row>
    <row r="89" spans="1:2" ht="15">
      <c r="A89" s="67"/>
      <c r="B89" s="83"/>
    </row>
    <row r="90" spans="1:3" ht="15">
      <c r="A90" s="176" t="s">
        <v>497</v>
      </c>
      <c r="B90" s="176"/>
      <c r="C90" s="176"/>
    </row>
    <row r="91" spans="1:2" ht="15">
      <c r="A91" s="82" t="s">
        <v>498</v>
      </c>
      <c r="B91" s="153"/>
    </row>
    <row r="92" spans="1:2" ht="15">
      <c r="A92" s="146" t="s">
        <v>110</v>
      </c>
      <c r="B92" s="103"/>
    </row>
    <row r="93" spans="1:4" ht="15">
      <c r="A93" s="67" t="s">
        <v>83</v>
      </c>
      <c r="D93" s="69"/>
    </row>
    <row r="94" ht="15">
      <c r="A94" s="120" t="s">
        <v>84</v>
      </c>
    </row>
    <row r="95" ht="15">
      <c r="A95" s="67" t="s">
        <v>88</v>
      </c>
    </row>
    <row r="96" ht="15">
      <c r="A96" s="120" t="s">
        <v>89</v>
      </c>
    </row>
    <row r="97" ht="15">
      <c r="A97" s="67" t="s">
        <v>91</v>
      </c>
    </row>
    <row r="98" ht="15">
      <c r="A98" s="120" t="s">
        <v>148</v>
      </c>
    </row>
    <row r="99" ht="15">
      <c r="A99" s="67" t="s">
        <v>147</v>
      </c>
    </row>
    <row r="100" ht="15">
      <c r="A100" s="120" t="s">
        <v>109</v>
      </c>
    </row>
    <row r="101" ht="15">
      <c r="A101" s="67" t="s">
        <v>93</v>
      </c>
    </row>
    <row r="102" ht="15">
      <c r="A102" s="120" t="s">
        <v>146</v>
      </c>
    </row>
    <row r="103" spans="1:2" ht="15">
      <c r="A103" s="138" t="s">
        <v>111</v>
      </c>
      <c r="B103" s="123"/>
    </row>
    <row r="104" spans="1:2" ht="15">
      <c r="A104" s="88" t="s">
        <v>145</v>
      </c>
      <c r="B104" s="81">
        <f>SUM(B92:B103)</f>
        <v>0</v>
      </c>
    </row>
    <row r="106" spans="1:2" ht="15">
      <c r="A106" s="148" t="s">
        <v>144</v>
      </c>
      <c r="B106" s="136" t="s">
        <v>143</v>
      </c>
    </row>
    <row r="107" ht="15">
      <c r="A107" s="67" t="s">
        <v>12</v>
      </c>
    </row>
    <row r="108" ht="15">
      <c r="A108" s="67" t="s">
        <v>13</v>
      </c>
    </row>
    <row r="109" ht="15">
      <c r="A109" s="67" t="s">
        <v>13</v>
      </c>
    </row>
    <row r="110" ht="15">
      <c r="A110" s="67" t="s">
        <v>1</v>
      </c>
    </row>
    <row r="111" spans="1:2" ht="15">
      <c r="A111" s="138" t="s">
        <v>2</v>
      </c>
      <c r="B111" s="123"/>
    </row>
    <row r="112" spans="1:2" ht="15">
      <c r="A112" s="82" t="s">
        <v>142</v>
      </c>
      <c r="B112" s="81">
        <f>SUM(B107:B111)</f>
        <v>0</v>
      </c>
    </row>
  </sheetData>
  <sheetProtection password="96BD" sheet="1"/>
  <mergeCells count="4">
    <mergeCell ref="E1:K1"/>
    <mergeCell ref="E2:K2"/>
    <mergeCell ref="E12:G12"/>
    <mergeCell ref="A90:C90"/>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NCSU - Ag &amp; Resource Economics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cdsafley</dc:creator>
  <cp:keywords/>
  <dc:description/>
  <cp:lastModifiedBy>Reviewer Anonymous</cp:lastModifiedBy>
  <cp:lastPrinted>2008-04-08T15:11:04Z</cp:lastPrinted>
  <dcterms:created xsi:type="dcterms:W3CDTF">2007-06-01T17:14:24Z</dcterms:created>
  <dcterms:modified xsi:type="dcterms:W3CDTF">2012-10-02T19:58:38Z</dcterms:modified>
  <cp:category/>
  <cp:version/>
  <cp:contentType/>
  <cp:contentStatus/>
</cp:coreProperties>
</file>