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240" windowWidth="13440" windowHeight="6360" tabRatio="868" activeTab="9"/>
  </bookViews>
  <sheets>
    <sheet name="Introduction" sheetId="1" r:id="rId1"/>
    <sheet name="Abstract " sheetId="2" r:id="rId2"/>
    <sheet name="Example-Red Maple Costs" sheetId="3" r:id="rId3"/>
    <sheet name="Example-Red Maple Returns" sheetId="4" r:id="rId4"/>
    <sheet name="Your Red Maple Costs" sheetId="5" r:id="rId5"/>
    <sheet name="Your Red Maple Returns" sheetId="6" r:id="rId6"/>
    <sheet name="Pesticides Efficacy for Insects" sheetId="7" r:id="rId7"/>
    <sheet name="Insecticide Costs applied" sheetId="8" r:id="rId8"/>
    <sheet name="Plant disease costs applied" sheetId="9" r:id="rId9"/>
    <sheet name="Herbicide Costs applied" sheetId="10" r:id="rId10"/>
  </sheets>
  <definedNames>
    <definedName name="OLE_LINK1" localSheetId="1">'Abstract '!$B$1</definedName>
    <definedName name="_xlnm.Print_Area" localSheetId="5">'Your Red Maple Returns'!$A$1:$H$55</definedName>
  </definedNames>
  <calcPr fullCalcOnLoad="1"/>
</workbook>
</file>

<file path=xl/comments6.xml><?xml version="1.0" encoding="utf-8"?>
<comments xmlns="http://schemas.openxmlformats.org/spreadsheetml/2006/main">
  <authors>
    <author>Reviewer Anonymous</author>
  </authors>
  <commentList>
    <comment ref="F37" authorId="0">
      <text>
        <r>
          <rPr>
            <b/>
            <sz val="9"/>
            <rFont val="Tahoma"/>
            <family val="2"/>
          </rPr>
          <t>Wholesale Price column:</t>
        </r>
        <r>
          <rPr>
            <sz val="9"/>
            <rFont val="Tahoma"/>
            <family val="2"/>
          </rPr>
          <t xml:space="preserve">
Enter in your costs here.  Just type right over the numbers already there.  These are just for reference. </t>
        </r>
      </text>
    </comment>
  </commentList>
</comments>
</file>

<file path=xl/sharedStrings.xml><?xml version="1.0" encoding="utf-8"?>
<sst xmlns="http://schemas.openxmlformats.org/spreadsheetml/2006/main" count="1769" uniqueCount="547">
  <si>
    <t>Trees planted per Acre</t>
  </si>
  <si>
    <t>Harvest</t>
  </si>
  <si>
    <t>Year 4</t>
  </si>
  <si>
    <t>Total Acres</t>
  </si>
  <si>
    <t>Year 5</t>
  </si>
  <si>
    <t>Loss Rate</t>
  </si>
  <si>
    <t>Total Trees Planted</t>
  </si>
  <si>
    <t>Total Trees Harvested</t>
  </si>
  <si>
    <t>Trees</t>
  </si>
  <si>
    <t>Year</t>
  </si>
  <si>
    <t>Annual</t>
  </si>
  <si>
    <t>Cumulative</t>
  </si>
  <si>
    <t>Available</t>
  </si>
  <si>
    <t>Preparation Year</t>
  </si>
  <si>
    <t>Year 1</t>
  </si>
  <si>
    <t>Year 2</t>
  </si>
  <si>
    <t>Year 3</t>
  </si>
  <si>
    <t>Total</t>
  </si>
  <si>
    <t>Average Cost per Tree</t>
  </si>
  <si>
    <t>Cost Checks</t>
  </si>
  <si>
    <t xml:space="preserve"> </t>
  </si>
  <si>
    <t>Cost per</t>
  </si>
  <si>
    <t>Trees Sold</t>
  </si>
  <si>
    <t>Tree</t>
  </si>
  <si>
    <t>Total Cost</t>
  </si>
  <si>
    <t>Projected Revenues</t>
  </si>
  <si>
    <t>Wholesale</t>
  </si>
  <si>
    <t>Projected</t>
  </si>
  <si>
    <t>Percent</t>
  </si>
  <si>
    <t>Size</t>
  </si>
  <si>
    <t>Price</t>
  </si>
  <si>
    <t>Revenue</t>
  </si>
  <si>
    <t>20 Acres</t>
  </si>
  <si>
    <t>Per Acre</t>
  </si>
  <si>
    <t>Total Revenues</t>
  </si>
  <si>
    <t>Total Costs</t>
  </si>
  <si>
    <t>Total Returns</t>
  </si>
  <si>
    <t>Equipment</t>
  </si>
  <si>
    <t>Material</t>
  </si>
  <si>
    <t>Labor</t>
  </si>
  <si>
    <t>Summary</t>
  </si>
  <si>
    <t>Cost</t>
  </si>
  <si>
    <t>Plow Field (2x)</t>
  </si>
  <si>
    <t>Disc Field (3x)</t>
  </si>
  <si>
    <t>Drill Cover Crop</t>
  </si>
  <si>
    <t>Soil Test</t>
  </si>
  <si>
    <t>Subsoil</t>
  </si>
  <si>
    <t>Apply Herbicide (2x)</t>
  </si>
  <si>
    <t>Apply Lime</t>
  </si>
  <si>
    <t>Rotovate Soil</t>
  </si>
  <si>
    <t>Order Whips</t>
  </si>
  <si>
    <t>Taxes</t>
  </si>
  <si>
    <t>Management</t>
  </si>
  <si>
    <t xml:space="preserve">Land Cost </t>
  </si>
  <si>
    <t>Miscellaneous</t>
  </si>
  <si>
    <t>Overhead</t>
  </si>
  <si>
    <t>Operating Capital</t>
  </si>
  <si>
    <t>Apply Herbicide</t>
  </si>
  <si>
    <t>Unload Whips for Storage</t>
  </si>
  <si>
    <t>Whips Stored</t>
  </si>
  <si>
    <t>Load and Unload Whips</t>
  </si>
  <si>
    <t>Plant Whips</t>
  </si>
  <si>
    <t>Stake Whips</t>
  </si>
  <si>
    <t>Install Drip Irrigation</t>
  </si>
  <si>
    <t>Irrigate Whips</t>
  </si>
  <si>
    <t>Prune Suckers</t>
  </si>
  <si>
    <t>Prune to Central Leader</t>
  </si>
  <si>
    <t>Harvest 50% of trees</t>
  </si>
  <si>
    <t>Marketing</t>
  </si>
  <si>
    <t xml:space="preserve">      Catalogs</t>
  </si>
  <si>
    <t xml:space="preserve">      Trade Shows</t>
  </si>
  <si>
    <t xml:space="preserve">      Magazine Ads</t>
  </si>
  <si>
    <t xml:space="preserve">      Web Based Advertising</t>
  </si>
  <si>
    <t>Harvest 20% of trees</t>
  </si>
  <si>
    <t>Load Trees in Field</t>
  </si>
  <si>
    <t>Load Trees on 24' Trailer</t>
  </si>
  <si>
    <t>Load Trees on Tractor Trailer</t>
  </si>
  <si>
    <t xml:space="preserve">      Web Base Advertising</t>
  </si>
  <si>
    <t>2"</t>
  </si>
  <si>
    <t>2.5"</t>
  </si>
  <si>
    <t>3"</t>
  </si>
  <si>
    <t>Order Packing Supplies</t>
  </si>
  <si>
    <t>Harvest 30% of trees</t>
  </si>
  <si>
    <t>Costs</t>
  </si>
  <si>
    <t>September - October</t>
  </si>
  <si>
    <t>Type of Operation</t>
  </si>
  <si>
    <t>Year, Month and</t>
  </si>
  <si>
    <t>First Year</t>
  </si>
  <si>
    <t>February</t>
  </si>
  <si>
    <t>March</t>
  </si>
  <si>
    <t>Annual Overhead Costs</t>
  </si>
  <si>
    <t>Pick-up Truck</t>
  </si>
  <si>
    <t>Projected Returns to Land, Management, and Operating Capital</t>
  </si>
  <si>
    <t>April</t>
  </si>
  <si>
    <t>May</t>
  </si>
  <si>
    <t>Mow between rows</t>
  </si>
  <si>
    <t>June</t>
  </si>
  <si>
    <t>July - August</t>
  </si>
  <si>
    <t>October</t>
  </si>
  <si>
    <t>Second Year</t>
  </si>
  <si>
    <t>Apply Fertilizer</t>
  </si>
  <si>
    <t>Third Year</t>
  </si>
  <si>
    <t>Fourth Year</t>
  </si>
  <si>
    <t>Harvested</t>
  </si>
  <si>
    <t>Years</t>
  </si>
  <si>
    <t>of Trees</t>
  </si>
  <si>
    <t xml:space="preserve">Percent </t>
  </si>
  <si>
    <t>Total Costs First Year</t>
  </si>
  <si>
    <t>Total Costs Second Year</t>
  </si>
  <si>
    <t>Total Costs Third Year</t>
  </si>
  <si>
    <t>Total Costs Fourth Year</t>
  </si>
  <si>
    <t>Fifth Year</t>
  </si>
  <si>
    <t>Total Costs Fifth Year</t>
  </si>
  <si>
    <t>Total Costs Preparation Year</t>
  </si>
  <si>
    <t>September</t>
  </si>
  <si>
    <t>January</t>
  </si>
  <si>
    <t>December</t>
  </si>
  <si>
    <t xml:space="preserve">May </t>
  </si>
  <si>
    <t>July</t>
  </si>
  <si>
    <t>August</t>
  </si>
  <si>
    <t>Cost per Tree</t>
  </si>
  <si>
    <t>Estimated Production Costs, Gross Revenues, and Projected Returns</t>
  </si>
  <si>
    <t>Projected Annual Production Costs</t>
  </si>
  <si>
    <t>to Land, Management, and Operating Capital for Red Maples</t>
  </si>
  <si>
    <t>by Month and Type of Operation</t>
  </si>
  <si>
    <t xml:space="preserve">Estimated Annual Production Costs for a 20 Acre Red Maple Planting  </t>
  </si>
  <si>
    <t>Charles D. Safley</t>
  </si>
  <si>
    <t>University, Raleigh, NC 27695-8109</t>
  </si>
  <si>
    <t>University, Raleigh NC 27695-7609</t>
  </si>
  <si>
    <t xml:space="preserve">Professor, Department of Horticultural Science, North Carolina State </t>
  </si>
  <si>
    <t>Stacy Marshall</t>
  </si>
  <si>
    <t>North Carolina State University, Raleigh, NC 27695-8109</t>
  </si>
  <si>
    <t xml:space="preserve">Former Research Assistant, Department of Agricultural and Resource Economics,  </t>
  </si>
  <si>
    <t xml:space="preserve">Professor, Department of Agricultural and Resource Economics, North Carolina State </t>
  </si>
  <si>
    <t>Abstract</t>
  </si>
  <si>
    <t>It is also recommended that growers develop a marketing plan and have a marketing strategy before investing in a commercial wholesale nursery. Production of high value crops is a risky business and the risk increases without stable marketing outlets. In extreme cases, growers have experienced financial losses when they were not able to find a suitable market outlet and/or when they did not meet the buyer’s expectations.</t>
  </si>
  <si>
    <t>Ted E. Bilderback</t>
  </si>
  <si>
    <t>Joe C. Neal</t>
  </si>
  <si>
    <t>Anthony V. LeBude</t>
  </si>
  <si>
    <t>University, 455 Research Drive, Fletcher, NC 28732-7723</t>
  </si>
  <si>
    <t>Burlap wraps, baskets, etc.</t>
  </si>
  <si>
    <t>Per Tree</t>
  </si>
  <si>
    <t xml:space="preserve">to Land, Management, and Operating Capital for </t>
  </si>
  <si>
    <t>Red Maples</t>
  </si>
  <si>
    <t>Irrigate Trees</t>
  </si>
  <si>
    <t xml:space="preserve">This budget identifies the costs associated with growing, harvesting, and marketing a 20 acre planting of Red Maples as well as the estimated returns to land, management, and operating capital. The cumulative cost for Red Maples was $304,181 over a five-year production cycle. With a loss rate of 10%, the average cost of producing, harvesting and marketing the Red Maples was $33.80 per tree. </t>
  </si>
  <si>
    <t>This budget includes costs often ignored by prospective growers such as overhead costs, fixed labor costs, and the costs of owning equipment and machinery (excluding depreciation). Therefore we feel they depict a realistic picture of the costs associated with producing, harvesting, and marketing these trees. Despite these additional costs, production of these crops in North Carolina using recommended practices can be a profitable venture.</t>
  </si>
  <si>
    <t>G</t>
  </si>
  <si>
    <t>bifenthrin</t>
  </si>
  <si>
    <t>F</t>
  </si>
  <si>
    <t>buprofezin</t>
  </si>
  <si>
    <t>3A</t>
  </si>
  <si>
    <t>4A</t>
  </si>
  <si>
    <t>1B</t>
  </si>
  <si>
    <t>P</t>
  </si>
  <si>
    <t>abamectin</t>
  </si>
  <si>
    <t>N/A</t>
  </si>
  <si>
    <t>acephate</t>
  </si>
  <si>
    <t>?</t>
  </si>
  <si>
    <t>acequinocyl</t>
  </si>
  <si>
    <t>20B</t>
  </si>
  <si>
    <t>acetamiprid</t>
  </si>
  <si>
    <t>azadirachtin</t>
  </si>
  <si>
    <t>unk</t>
  </si>
  <si>
    <t>bifenazate</t>
  </si>
  <si>
    <t>carbaryl</t>
  </si>
  <si>
    <t>1A</t>
  </si>
  <si>
    <t>chlorfenapyry</t>
  </si>
  <si>
    <t>chlorpyrifos</t>
  </si>
  <si>
    <t>clofentezine</t>
  </si>
  <si>
    <t>10A</t>
  </si>
  <si>
    <t>fenpyroximate</t>
  </si>
  <si>
    <t>21A</t>
  </si>
  <si>
    <t>hexythiazox</t>
  </si>
  <si>
    <t>nr</t>
  </si>
  <si>
    <t>imidacloprid</t>
  </si>
  <si>
    <t>kinoprene</t>
  </si>
  <si>
    <t>7A</t>
  </si>
  <si>
    <t>malathion</t>
  </si>
  <si>
    <t>methiocarb</t>
  </si>
  <si>
    <t>novaluron</t>
  </si>
  <si>
    <t>permethrin</t>
  </si>
  <si>
    <t>pyridaben</t>
  </si>
  <si>
    <t>pyriproxifen</t>
  </si>
  <si>
    <t>7C</t>
  </si>
  <si>
    <t>spinosad</t>
  </si>
  <si>
    <t>spiromesifen</t>
  </si>
  <si>
    <t>tau-fluvalinate</t>
  </si>
  <si>
    <t>thiamethoxam</t>
  </si>
  <si>
    <t>Bacillus thuringiensis</t>
  </si>
  <si>
    <t>neem oil extract</t>
  </si>
  <si>
    <t>lambda-cyhalothrin</t>
  </si>
  <si>
    <t>insecticidal soap</t>
  </si>
  <si>
    <t>horticultural oil</t>
  </si>
  <si>
    <t>IRAC Code</t>
  </si>
  <si>
    <t>Catepillars</t>
  </si>
  <si>
    <t>Soft scales</t>
  </si>
  <si>
    <t>Granulate Ambrosia Beetle</t>
  </si>
  <si>
    <t>Japanese Beetle Adult</t>
  </si>
  <si>
    <t>Leafhoppers</t>
  </si>
  <si>
    <t>Spider mites</t>
  </si>
  <si>
    <t>Product price</t>
  </si>
  <si>
    <t>$/acre</t>
  </si>
  <si>
    <t>Chemical</t>
  </si>
  <si>
    <t>Total units of measure in product</t>
  </si>
  <si>
    <t xml:space="preserve">Cost per unit </t>
  </si>
  <si>
    <t>of measure</t>
  </si>
  <si>
    <t>applications</t>
  </si>
  <si>
    <t xml:space="preserve">Number of </t>
  </si>
  <si>
    <t xml:space="preserve">Total Cost </t>
  </si>
  <si>
    <t>for crop</t>
  </si>
  <si>
    <t>Number of trees planted per acre</t>
  </si>
  <si>
    <t>Amount applied</t>
  </si>
  <si>
    <t>ounces</t>
  </si>
  <si>
    <t>pounds</t>
  </si>
  <si>
    <t>grams</t>
  </si>
  <si>
    <t>fluid ounces</t>
  </si>
  <si>
    <t>teaspoon</t>
  </si>
  <si>
    <t>tablespoon</t>
  </si>
  <si>
    <t>gallon (128 fl. oz)</t>
  </si>
  <si>
    <t>pint  (16 fl.oz)</t>
  </si>
  <si>
    <t>quart (32 fl. oz)</t>
  </si>
  <si>
    <t>Enter amount here</t>
  </si>
  <si>
    <t>Fluid conversions</t>
  </si>
  <si>
    <t>Converts amount entered to these units</t>
  </si>
  <si>
    <t>Liters</t>
  </si>
  <si>
    <t>Unit of measurement</t>
  </si>
  <si>
    <t>Weights</t>
  </si>
  <si>
    <t>Fluids</t>
  </si>
  <si>
    <t>Weight or mass conversions</t>
  </si>
  <si>
    <t>(e.g., total ounces in product)</t>
  </si>
  <si>
    <t xml:space="preserve">Total cost </t>
  </si>
  <si>
    <t>per tree</t>
  </si>
  <si>
    <t>Total number of tree planted</t>
  </si>
  <si>
    <t>Clearwing &amp; Flathead Borers</t>
  </si>
  <si>
    <t>Total number of trees planted</t>
  </si>
  <si>
    <t>Gallery</t>
  </si>
  <si>
    <t>prodiamine</t>
  </si>
  <si>
    <t>trifluralin</t>
  </si>
  <si>
    <t>dimethenamid-p</t>
  </si>
  <si>
    <t>pendimethalin</t>
  </si>
  <si>
    <t>oryzalin</t>
  </si>
  <si>
    <t>flumioxazin</t>
  </si>
  <si>
    <t>oxyfluorfen</t>
  </si>
  <si>
    <t xml:space="preserve">isoxaben </t>
  </si>
  <si>
    <t>dithiopyr</t>
  </si>
  <si>
    <t>napropamide</t>
  </si>
  <si>
    <t>oxadiazon</t>
  </si>
  <si>
    <t>s-metolachlor</t>
  </si>
  <si>
    <t>Preemergebce Herbicides</t>
  </si>
  <si>
    <t>Postemergence Herbicides</t>
  </si>
  <si>
    <t>fenoxaprop</t>
  </si>
  <si>
    <t>Acclaim extra</t>
  </si>
  <si>
    <t>asulam</t>
  </si>
  <si>
    <t>Asulox</t>
  </si>
  <si>
    <t>Basagran TO</t>
  </si>
  <si>
    <t>bentazon</t>
  </si>
  <si>
    <t>Casoron 4G</t>
  </si>
  <si>
    <t>dichlobenil</t>
  </si>
  <si>
    <t>Casoron CS</t>
  </si>
  <si>
    <t>Envoy Plus</t>
  </si>
  <si>
    <t>clethodim</t>
  </si>
  <si>
    <t>Final 1L</t>
  </si>
  <si>
    <t>glufosinate-ammomium</t>
  </si>
  <si>
    <t>Fusilade II</t>
  </si>
  <si>
    <t>fluazifop-P-butyl</t>
  </si>
  <si>
    <t>Goal 2XL</t>
  </si>
  <si>
    <t>Goal tender</t>
  </si>
  <si>
    <t>Gramoxone Inteon</t>
  </si>
  <si>
    <t>paraquat</t>
  </si>
  <si>
    <t>Lontrel</t>
  </si>
  <si>
    <t>clopyralid</t>
  </si>
  <si>
    <t>Reward 2L</t>
  </si>
  <si>
    <t>diquat</t>
  </si>
  <si>
    <t>Roundup (various products)</t>
  </si>
  <si>
    <t>Segment</t>
  </si>
  <si>
    <t>sethoxydim</t>
  </si>
  <si>
    <t>Scythe</t>
  </si>
  <si>
    <t>pelargonic acid</t>
  </si>
  <si>
    <t>HRAC</t>
  </si>
  <si>
    <t>A</t>
  </si>
  <si>
    <t>I</t>
  </si>
  <si>
    <t>C3</t>
  </si>
  <si>
    <t>L</t>
  </si>
  <si>
    <t>A/I</t>
  </si>
  <si>
    <t>E</t>
  </si>
  <si>
    <t>D</t>
  </si>
  <si>
    <t>O</t>
  </si>
  <si>
    <t>B</t>
  </si>
  <si>
    <t>Z</t>
  </si>
  <si>
    <t>glyphosate</t>
  </si>
  <si>
    <t>K1</t>
  </si>
  <si>
    <t>K3</t>
  </si>
  <si>
    <t>Barricade 4L</t>
  </si>
  <si>
    <t>Barricade 65DG</t>
  </si>
  <si>
    <t>Kl</t>
  </si>
  <si>
    <t xml:space="preserve">Broadstar </t>
  </si>
  <si>
    <t>Casoron 4 GR</t>
  </si>
  <si>
    <t>dichobenil</t>
  </si>
  <si>
    <t>Corral 2.68G</t>
  </si>
  <si>
    <t>Pendulum 2GR</t>
  </si>
  <si>
    <t>Active ingredient</t>
  </si>
  <si>
    <t>Devrinol 50DF</t>
  </si>
  <si>
    <t>Devrinol 2G</t>
  </si>
  <si>
    <t>Dimension Ultra 40WP</t>
  </si>
  <si>
    <t>Chemical class</t>
  </si>
  <si>
    <t>dinitroaniline</t>
  </si>
  <si>
    <t>substitued benzene</t>
  </si>
  <si>
    <t>alkanamide</t>
  </si>
  <si>
    <t>pyridazinone</t>
  </si>
  <si>
    <t>Freehand 1.75G</t>
  </si>
  <si>
    <t>dimethenamid-P + pendimethalin</t>
  </si>
  <si>
    <t>K3, K1</t>
  </si>
  <si>
    <t>amide plus dinitroanaline</t>
  </si>
  <si>
    <t>phenylphthalimide</t>
  </si>
  <si>
    <t>amide</t>
  </si>
  <si>
    <t>Jewel 3.25G</t>
  </si>
  <si>
    <t>oxadiazon + pendimethalin</t>
  </si>
  <si>
    <t>E, K1</t>
  </si>
  <si>
    <t>oxadiazole + dinitroaniline</t>
  </si>
  <si>
    <t>OH2 2 GR</t>
  </si>
  <si>
    <t>oxyfluorfen + pendimethaline</t>
  </si>
  <si>
    <t>diphenyl ether + dinitroaniline</t>
  </si>
  <si>
    <t>Pendulum3.3 EC</t>
  </si>
  <si>
    <t>Pendulum Aqua Cap 3.8ACS</t>
  </si>
  <si>
    <t>Pennant Magnum 7.62</t>
  </si>
  <si>
    <t>choroacetanilide</t>
  </si>
  <si>
    <t>Predict 78.6DF</t>
  </si>
  <si>
    <t>norflurazon</t>
  </si>
  <si>
    <t>F1</t>
  </si>
  <si>
    <t>triazine</t>
  </si>
  <si>
    <t>C1</t>
  </si>
  <si>
    <t>Regal Kade 0.5G</t>
  </si>
  <si>
    <t>Regal O-O 3GR</t>
  </si>
  <si>
    <t>oxyfluorfen + oxadiazon</t>
  </si>
  <si>
    <t>diphenyl ether + oxadiazole</t>
  </si>
  <si>
    <t>Regalstar 1.2GR</t>
  </si>
  <si>
    <t>oxadiazon + prodiamine</t>
  </si>
  <si>
    <t>Ronstar 50WSP</t>
  </si>
  <si>
    <t>oxadiazole</t>
  </si>
  <si>
    <t>Ronstar G</t>
  </si>
  <si>
    <t>Rout 3G</t>
  </si>
  <si>
    <t>oxyfluorfen + oryzalin</t>
  </si>
  <si>
    <t>Showcase 2.5G</t>
  </si>
  <si>
    <t>isoxaben + trifluralin + oxyfluorfen</t>
  </si>
  <si>
    <t>benzamide + dinitroaniline + diphenyl ether</t>
  </si>
  <si>
    <t>L, K1</t>
  </si>
  <si>
    <t>Simazine 4L</t>
  </si>
  <si>
    <t xml:space="preserve">simazine </t>
  </si>
  <si>
    <t>Simazine 90DF</t>
  </si>
  <si>
    <t>Snapshot 2.5TG</t>
  </si>
  <si>
    <t xml:space="preserve">isoxaben + trifluralin </t>
  </si>
  <si>
    <t xml:space="preserve">benzamide + dinitroaniline </t>
  </si>
  <si>
    <t>Sureguard</t>
  </si>
  <si>
    <t>Surflan 4AS</t>
  </si>
  <si>
    <t>Surflan 85DF</t>
  </si>
  <si>
    <t>Tower 6L</t>
  </si>
  <si>
    <t>Treflan 5G</t>
  </si>
  <si>
    <t>Weedfree 75, 5GR</t>
  </si>
  <si>
    <t>oxyfluorfen + trifluralin</t>
  </si>
  <si>
    <t xml:space="preserve">diphenyl ether + dinitroaniline </t>
  </si>
  <si>
    <t>E. K1</t>
  </si>
  <si>
    <t>XL 2 GR</t>
  </si>
  <si>
    <t>benefin (benflurlain) + oryzalin</t>
  </si>
  <si>
    <t>aryloxphenoxyproprionate</t>
  </si>
  <si>
    <t>carbamate</t>
  </si>
  <si>
    <t>benzothiazinone</t>
  </si>
  <si>
    <t>benzonitrile</t>
  </si>
  <si>
    <t>cyclohexanedione</t>
  </si>
  <si>
    <t>phosphinic acid</t>
  </si>
  <si>
    <t>diphenyl ether</t>
  </si>
  <si>
    <t>bipyridylium</t>
  </si>
  <si>
    <t>pyridine compound</t>
  </si>
  <si>
    <t>phosphonoglycine</t>
  </si>
  <si>
    <t>cyclohexadione</t>
  </si>
  <si>
    <t>biopesticide</t>
  </si>
  <si>
    <t>Totals</t>
  </si>
  <si>
    <t>to unit of measure</t>
  </si>
  <si>
    <t xml:space="preserve">must be similar </t>
  </si>
  <si>
    <t>per acre,</t>
  </si>
  <si>
    <t>Total after each year</t>
  </si>
  <si>
    <t>Total for production of this crop</t>
  </si>
  <si>
    <t>Total cost for pesticides</t>
  </si>
  <si>
    <t>EXAMPLE: abamectin</t>
  </si>
  <si>
    <t>Use the conversion table above</t>
  </si>
  <si>
    <t>to convert metric/english equivalents</t>
  </si>
  <si>
    <t>Novermber</t>
  </si>
  <si>
    <t>Write in total costs for each year</t>
  </si>
  <si>
    <t>Total cost for the year</t>
  </si>
  <si>
    <t>P=Poor</t>
  </si>
  <si>
    <t>F=Fair</t>
  </si>
  <si>
    <t>G=Good</t>
  </si>
  <si>
    <t>?=Registered but efficacy not known on any crops (ornamental or otherwise)</t>
  </si>
  <si>
    <t>unk=mode of action unknown</t>
  </si>
  <si>
    <t>nr=not required to have an IRAC code</t>
  </si>
  <si>
    <t>N/A Not avaiilable for use</t>
  </si>
  <si>
    <t>*Armored scale ratings are based on species that feed on leaves.  Those feeding on branches are more difficult to control; requires multiple applications of horticultural oil and insect growth regulators</t>
  </si>
  <si>
    <t>**Chlorfenapyr (Pylon) is registered only for commerical greenhouse uses.</t>
  </si>
  <si>
    <t>Armored Scales*</t>
  </si>
  <si>
    <t>Use this table to determine which pesticide and how effective it is for controlling insects that are pests of red maple.</t>
  </si>
  <si>
    <t>chlorfenapyr**</t>
  </si>
  <si>
    <t>EXAMPLE: Acclaim Extra</t>
  </si>
  <si>
    <t>Add in others below</t>
  </si>
  <si>
    <t xml:space="preserve">Apply Herbicide </t>
  </si>
  <si>
    <t xml:space="preserve">Disc Field </t>
  </si>
  <si>
    <t xml:space="preserve">Plow Field </t>
  </si>
  <si>
    <t xml:space="preserve">Apply Insecticide &amp; Fungicide </t>
  </si>
  <si>
    <t>Apply Insecticide &amp; Fungicide</t>
  </si>
  <si>
    <t>Apply Insectide &amp;Fungicide</t>
  </si>
  <si>
    <t>Type your costs in the three columes marked Equipment, Material and Labor costs</t>
  </si>
  <si>
    <t>The columns "Summary Costs" and "Total Costs for Perparation, First, etc., Year" will tally your totals automatically</t>
  </si>
  <si>
    <t>Use the worksheets "Insecticide Costs Applied" and Herbicide Costs Applied" to help keep track of and calculate expenditures for those items</t>
  </si>
  <si>
    <t>It is used throughout the equations below.</t>
  </si>
  <si>
    <t>Fill in the information below for red maples planted.</t>
  </si>
  <si>
    <t>Number trees</t>
  </si>
  <si>
    <t>harvested</t>
  </si>
  <si>
    <t>Number of unsalable or dead trees</t>
  </si>
  <si>
    <t>&lt; 2"</t>
  </si>
  <si>
    <t>Sold</t>
  </si>
  <si>
    <t>Revenues</t>
  </si>
  <si>
    <t>discounted</t>
  </si>
  <si>
    <t>Harvest %</t>
  </si>
  <si>
    <t>per year</t>
  </si>
  <si>
    <t>Actual</t>
  </si>
  <si>
    <t>Costs*</t>
  </si>
  <si>
    <t>*These numbers are connected to "Your Red Maple Costs" sheet</t>
  </si>
  <si>
    <t>thiophanate-methyl</t>
  </si>
  <si>
    <t>chlorothalonil</t>
  </si>
  <si>
    <t>myclobutanil</t>
  </si>
  <si>
    <t>propiconazole</t>
  </si>
  <si>
    <t>azoxystrobin</t>
  </si>
  <si>
    <t>cyazofamid</t>
  </si>
  <si>
    <t>fosetyl-AL</t>
  </si>
  <si>
    <t>mancozeb</t>
  </si>
  <si>
    <t>Daconil Ultrex 82.5 WDG</t>
  </si>
  <si>
    <t>Heritage 50 WDG</t>
  </si>
  <si>
    <t>copper hydroxide</t>
  </si>
  <si>
    <t>Kocide 2000</t>
  </si>
  <si>
    <t>copper hydroxide + mancozeb</t>
  </si>
  <si>
    <t>Junction</t>
  </si>
  <si>
    <t>streptomycin sulfate</t>
  </si>
  <si>
    <t>Agri-mycin 17</t>
  </si>
  <si>
    <t>All Ban Flo</t>
  </si>
  <si>
    <t>Cleary's 3336 F</t>
  </si>
  <si>
    <t>Cleary's 3336 WP</t>
  </si>
  <si>
    <t>Zyban WSB</t>
  </si>
  <si>
    <t>triadimefon</t>
  </si>
  <si>
    <t>copper sulfate pentahydrate</t>
  </si>
  <si>
    <t>Phyton 27</t>
  </si>
  <si>
    <t>Dithane 75DF</t>
  </si>
  <si>
    <t>Fore 80 WSP</t>
  </si>
  <si>
    <t>Mancozeb DG</t>
  </si>
  <si>
    <t>Pentathlon LF</t>
  </si>
  <si>
    <t>Protect DF</t>
  </si>
  <si>
    <t>Eagle 40WP</t>
  </si>
  <si>
    <t>Systhane 40 WSP</t>
  </si>
  <si>
    <t>chlorothalonil + thiophanate-methyl</t>
  </si>
  <si>
    <t>Spectro 90 WDG</t>
  </si>
  <si>
    <t>pyraclostrobin + boscalid</t>
  </si>
  <si>
    <t>Pageant</t>
  </si>
  <si>
    <t>Eagle 20EW</t>
  </si>
  <si>
    <t>Bayleton 50 WSP</t>
  </si>
  <si>
    <t>Strike 25 WDG</t>
  </si>
  <si>
    <t>Banner MAXX</t>
  </si>
  <si>
    <t>Sunspray</t>
  </si>
  <si>
    <t>Sun Ultra-Fine Spray oil</t>
  </si>
  <si>
    <t>flutolanil</t>
  </si>
  <si>
    <t>Contrast 70 WSP</t>
  </si>
  <si>
    <t>Subdue MAXX</t>
  </si>
  <si>
    <t>Aliette 80 WP</t>
  </si>
  <si>
    <t>Segway</t>
  </si>
  <si>
    <t>triazoles</t>
  </si>
  <si>
    <t>ethyl phosphonates</t>
  </si>
  <si>
    <t>inorganic</t>
  </si>
  <si>
    <t>M1</t>
  </si>
  <si>
    <t>dithio-carbamates and relatives</t>
  </si>
  <si>
    <t>M3</t>
  </si>
  <si>
    <t>chloronitriles (phthalonitriles)</t>
  </si>
  <si>
    <t>M5</t>
  </si>
  <si>
    <t>diverse</t>
  </si>
  <si>
    <t>NC</t>
  </si>
  <si>
    <t>glucopyranosyl</t>
  </si>
  <si>
    <t>cyano-imidazole</t>
  </si>
  <si>
    <t>methoxy-carbamates + pyridine-carboxamides</t>
  </si>
  <si>
    <t>11 + 7</t>
  </si>
  <si>
    <t>methoxy-acrylates</t>
  </si>
  <si>
    <t>phenyl-benzamides</t>
  </si>
  <si>
    <t>thiophanates</t>
  </si>
  <si>
    <t>mefenoxam (metalaxyl-M)</t>
  </si>
  <si>
    <t>acylalanines</t>
  </si>
  <si>
    <t>inorganic + dithio-carbamates and relatives</t>
  </si>
  <si>
    <t>M1+ M3</t>
  </si>
  <si>
    <t>chloronitriles (phthalonitriles) + thiophanates</t>
  </si>
  <si>
    <t>M5 + 1</t>
  </si>
  <si>
    <t>EXAMPLE: Daconil Ultrex</t>
  </si>
  <si>
    <t>Daconil ZN</t>
  </si>
  <si>
    <t>http://www.frac.info/frac/index.htm</t>
  </si>
  <si>
    <t>for info on modes of action</t>
  </si>
  <si>
    <t>Monthly costs per year</t>
  </si>
  <si>
    <t>FRAC</t>
  </si>
  <si>
    <t>Product price (US$)</t>
  </si>
  <si>
    <t xml:space="preserve">Associate Professor, Department of Horticultural Science, North Carolina State </t>
  </si>
  <si>
    <t>Apply Insecticide &amp; Fungicide (2X)</t>
  </si>
  <si>
    <t>Feburary</t>
  </si>
  <si>
    <t>Apply Insecticides and Fungicides</t>
  </si>
  <si>
    <t xml:space="preserve">This budget presents the estimated costs of producing, harvesting, and marketing Red Maples in North Carolina along with the projected returns to land, management and operating costs that can be useful for farmers considering starting a commercial wholesale nursery or expanding an existing operation. This budget was developed for a representative 20 acre planting with drip irrigation.  Updates in 2012 include areas for you to write in your costs and keep track of production budgets for any size operation.  Additionally insecticide, fungicide and herbicide worksheets were included to keep track of all pesticides appled over the year and throughtout the production cycle.  It was assumed that the management would be near optimal and that all currently recommended practices by the Cooperative Extension Service would be followed. Any mention of a product or vendor does not constitute a guarantee or warranty of the product, nor does it imply recommendation of one product over another. Other products may also be suitable depending on soils, weather conditions, nursery history, and pest pressures.  </t>
  </si>
  <si>
    <t>Run Hose and Gun Irrigation</t>
  </si>
  <si>
    <t>Irrigate Whips using either drip or hose and gun</t>
  </si>
  <si>
    <t>Irrigate trees using either drip or hose and gun</t>
  </si>
  <si>
    <t>It was assumed that the trees were harvested when the tree calipers were 2”, 2 ½ “, and 3” for prices of $80.00, $150.00 and $200.00 per tree, respectively. Given these prices, the projected returns to land, management, and operating capital were $1,054,818.  In the worksheet marked "Your Red Maple Returns" any wholesale price can be added.</t>
  </si>
  <si>
    <t>Budgets are only a guide and are not meant to be substitutes for growers calculating their own costs and estimating their own returns. Costs vary from grower to grower due to market conditions, labor supply, age and condition of the machinery and equipment, managerial skill, and many other factors. Since every situation is different, it is recommended that every grower estimate their individual production, harvesting and marketing costs based on their own production techniques, price expectations, local supply of labor, and market situation.  Worksheets are provided for these purposes.</t>
  </si>
  <si>
    <t>Mention of a product or vendor does not constitute a guarantee or warranty of the product, nor does it imply recommendation of one product over another. Other products may be suitable depending on soils, weather conditions, farm history, and pest pressures.</t>
  </si>
  <si>
    <t>The spray schedule in this budget is based on a typical year, however, as any grower knows, each year is different and therefore your pests and means of control will likely vary from what is listed. Keep track of yearly pesticide costs by using the worksheets provided for insects, plants diseases and weeds.  Track those numbers monthly, yearly, and over the production cycle.  Then add those numbers to the production costs worksheets to deteremine overall costs.</t>
  </si>
  <si>
    <t>Add your Acreage and Planting numbers here first to help figure pesticide costs</t>
  </si>
  <si>
    <t xml:space="preserve">Number of acres planted </t>
  </si>
  <si>
    <t>IRAC Modes of Action</t>
  </si>
  <si>
    <t>18B</t>
  </si>
  <si>
    <t>11B2</t>
  </si>
  <si>
    <t>Beaveria bassiana</t>
  </si>
  <si>
    <t>-</t>
  </si>
  <si>
    <t>clothianidin</t>
  </si>
  <si>
    <t>cyfluthrin</t>
  </si>
  <si>
    <t>cyromazine</t>
  </si>
  <si>
    <t>diflubenzuron</t>
  </si>
  <si>
    <t>dinotefuran</t>
  </si>
  <si>
    <t>etoxazole</t>
  </si>
  <si>
    <t>10B</t>
  </si>
  <si>
    <t>fenpropathrin</t>
  </si>
  <si>
    <t>metaldehyde</t>
  </si>
  <si>
    <t>pyrethrum</t>
  </si>
  <si>
    <t>pyrmetrozine</t>
  </si>
  <si>
    <t>9B</t>
  </si>
  <si>
    <t>spirotetamat</t>
  </si>
  <si>
    <t>tebufenozide</t>
  </si>
  <si>
    <t>18A</t>
  </si>
  <si>
    <t>Yearly Costs</t>
  </si>
  <si>
    <t>Enter the number of acres planted and trees per acre in order to use worksheet below</t>
  </si>
  <si>
    <t>Number of acres planted</t>
  </si>
  <si>
    <t>Write in the costs for each month here, and on the sheet labeled "Your Costs"</t>
  </si>
  <si>
    <t>Cost for each month</t>
  </si>
  <si>
    <t>Steve Frank</t>
  </si>
  <si>
    <t>Assistant Professor, Department of Entomology, North Carolina State</t>
  </si>
  <si>
    <t>University, Raleigh, NC 27695</t>
  </si>
  <si>
    <t xml:space="preserve">Enter more below </t>
  </si>
  <si>
    <t>visit http://www.irac-online.org/teams/mode-of-action/</t>
  </si>
  <si>
    <t>Month</t>
  </si>
  <si>
    <t xml:space="preserve">Estimated Annual Production Costs for Red Maple Plantings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</si>
</sst>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0"/>
    <numFmt numFmtId="172" formatCode="0.0000"/>
    <numFmt numFmtId="173" formatCode="0.000"/>
  </numFmts>
  <fonts count="62">
    <font>
      <sz val="11"/>
      <color theme="1"/>
      <name val="Calibri"/>
      <family val="2"/>
    </font>
    <font>
      <sz val="11"/>
      <color indexed="8"/>
      <name val="Calibri"/>
      <family val="2"/>
    </font>
    <font>
      <b/>
      <sz val="10"/>
      <name val="Arial"/>
      <family val="2"/>
    </font>
    <font>
      <b/>
      <sz val="11"/>
      <name val="Arial"/>
      <family val="2"/>
    </font>
    <font>
      <sz val="10"/>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4"/>
      <color indexed="8"/>
      <name val="Calibri"/>
      <family val="2"/>
    </font>
    <font>
      <b/>
      <sz val="12"/>
      <color indexed="8"/>
      <name val="Calibri"/>
      <family val="2"/>
    </font>
    <font>
      <b/>
      <sz val="16"/>
      <color indexed="8"/>
      <name val="Calibri"/>
      <family val="2"/>
    </font>
    <font>
      <b/>
      <i/>
      <sz val="11"/>
      <color indexed="8"/>
      <name val="Calibri"/>
      <family val="2"/>
    </font>
    <font>
      <sz val="16"/>
      <color indexed="8"/>
      <name val="Calibri"/>
      <family val="2"/>
    </font>
    <font>
      <b/>
      <sz val="18"/>
      <color indexed="8"/>
      <name val="Calibri"/>
      <family val="2"/>
    </font>
    <font>
      <b/>
      <sz val="14"/>
      <color indexed="8"/>
      <name val="Calibri"/>
      <family val="2"/>
    </font>
    <font>
      <b/>
      <sz val="11"/>
      <color indexed="8"/>
      <name val="Arial"/>
      <family val="2"/>
    </font>
    <font>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sz val="14"/>
      <color theme="1"/>
      <name val="Calibri"/>
      <family val="2"/>
    </font>
    <font>
      <b/>
      <sz val="12"/>
      <color theme="1"/>
      <name val="Calibri"/>
      <family val="2"/>
    </font>
    <font>
      <b/>
      <sz val="16"/>
      <color theme="1"/>
      <name val="Calibri"/>
      <family val="2"/>
    </font>
    <font>
      <b/>
      <i/>
      <sz val="11"/>
      <color theme="1"/>
      <name val="Calibri"/>
      <family val="2"/>
    </font>
    <font>
      <sz val="16"/>
      <color theme="1"/>
      <name val="Calibri"/>
      <family val="2"/>
    </font>
    <font>
      <b/>
      <sz val="18"/>
      <color theme="1"/>
      <name val="Calibri"/>
      <family val="2"/>
    </font>
    <font>
      <b/>
      <sz val="14"/>
      <color theme="1"/>
      <name val="Calibri"/>
      <family val="2"/>
    </font>
    <font>
      <b/>
      <sz val="11"/>
      <color theme="1"/>
      <name val="Arial"/>
      <family val="2"/>
    </font>
    <font>
      <sz val="2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bottom style="medium"/>
    </border>
    <border>
      <left/>
      <right/>
      <top/>
      <bottom style="mediumDashDot"/>
    </border>
    <border>
      <left/>
      <right/>
      <top/>
      <bottom style="thin"/>
    </border>
    <border>
      <left/>
      <right/>
      <top style="thin"/>
      <bottom style="medium"/>
    </border>
    <border>
      <left>
        <color indexed="63"/>
      </left>
      <right>
        <color indexed="63"/>
      </right>
      <top style="thin"/>
      <bottom>
        <color indexed="63"/>
      </bottom>
    </border>
    <border>
      <left/>
      <right/>
      <top style="medium"/>
      <bottom style="medium"/>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0">
    <xf numFmtId="0" fontId="0" fillId="0" borderId="0" xfId="0" applyFont="1" applyAlignment="1">
      <alignment/>
    </xf>
    <xf numFmtId="0" fontId="2" fillId="0" borderId="0" xfId="0" applyFont="1" applyAlignment="1">
      <alignment/>
    </xf>
    <xf numFmtId="3" fontId="0" fillId="0" borderId="0" xfId="0" applyNumberFormat="1" applyAlignment="1">
      <alignment horizontal="center"/>
    </xf>
    <xf numFmtId="0" fontId="0" fillId="0" borderId="0" xfId="0" applyAlignment="1">
      <alignment horizontal="center"/>
    </xf>
    <xf numFmtId="9" fontId="0" fillId="0" borderId="0" xfId="0" applyNumberFormat="1" applyAlignment="1">
      <alignment horizontal="center"/>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11" xfId="0" applyBorder="1" applyAlignment="1">
      <alignment horizontal="center"/>
    </xf>
    <xf numFmtId="164" fontId="0" fillId="0" borderId="0" xfId="0" applyNumberFormat="1" applyAlignment="1">
      <alignment/>
    </xf>
    <xf numFmtId="165" fontId="0" fillId="0" borderId="0" xfId="0" applyNumberFormat="1" applyAlignment="1">
      <alignment horizontal="center"/>
    </xf>
    <xf numFmtId="164" fontId="0" fillId="0" borderId="11" xfId="0" applyNumberFormat="1" applyBorder="1" applyAlignment="1">
      <alignment/>
    </xf>
    <xf numFmtId="165" fontId="0" fillId="0" borderId="10" xfId="0" applyNumberFormat="1" applyBorder="1" applyAlignment="1">
      <alignment horizontal="center"/>
    </xf>
    <xf numFmtId="3" fontId="0" fillId="0" borderId="11" xfId="0" applyNumberFormat="1" applyBorder="1" applyAlignment="1">
      <alignment horizontal="center"/>
    </xf>
    <xf numFmtId="0" fontId="0" fillId="0" borderId="12" xfId="0" applyBorder="1" applyAlignment="1">
      <alignment horizontal="center"/>
    </xf>
    <xf numFmtId="0" fontId="0" fillId="0" borderId="12" xfId="0" applyBorder="1" applyAlignment="1">
      <alignment/>
    </xf>
    <xf numFmtId="3" fontId="0" fillId="0" borderId="12" xfId="0" applyNumberFormat="1" applyBorder="1" applyAlignment="1">
      <alignment horizontal="center"/>
    </xf>
    <xf numFmtId="164" fontId="0" fillId="33" borderId="12" xfId="0" applyNumberFormat="1" applyFill="1" applyBorder="1" applyAlignment="1">
      <alignment/>
    </xf>
    <xf numFmtId="164" fontId="2" fillId="33" borderId="11" xfId="0" applyNumberFormat="1" applyFont="1" applyFill="1" applyBorder="1" applyAlignment="1">
      <alignment/>
    </xf>
    <xf numFmtId="164" fontId="0" fillId="0" borderId="0" xfId="0" applyNumberFormat="1" applyAlignment="1">
      <alignment horizontal="center"/>
    </xf>
    <xf numFmtId="164" fontId="0" fillId="0" borderId="0" xfId="0" applyNumberFormat="1" applyAlignment="1">
      <alignment horizontal="right"/>
    </xf>
    <xf numFmtId="9" fontId="0" fillId="0" borderId="11" xfId="0" applyNumberFormat="1" applyBorder="1" applyAlignment="1">
      <alignment horizontal="center"/>
    </xf>
    <xf numFmtId="164" fontId="2" fillId="33" borderId="11" xfId="0" applyNumberFormat="1" applyFont="1" applyFill="1" applyBorder="1" applyAlignment="1">
      <alignment horizontal="right"/>
    </xf>
    <xf numFmtId="0" fontId="0" fillId="0" borderId="0" xfId="0" applyBorder="1" applyAlignment="1">
      <alignment/>
    </xf>
    <xf numFmtId="164" fontId="0" fillId="0" borderId="11" xfId="0" applyNumberFormat="1" applyBorder="1" applyAlignment="1">
      <alignment horizontal="center"/>
    </xf>
    <xf numFmtId="164" fontId="0" fillId="0" borderId="12" xfId="0" applyNumberFormat="1" applyBorder="1" applyAlignment="1">
      <alignment/>
    </xf>
    <xf numFmtId="9" fontId="0" fillId="0" borderId="13" xfId="0" applyNumberFormat="1" applyBorder="1" applyAlignment="1">
      <alignment horizontal="center"/>
    </xf>
    <xf numFmtId="3" fontId="0" fillId="0" borderId="13" xfId="0" applyNumberForma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center"/>
    </xf>
    <xf numFmtId="4" fontId="0" fillId="0" borderId="0" xfId="0" applyNumberFormat="1" applyAlignment="1">
      <alignment/>
    </xf>
    <xf numFmtId="0" fontId="0" fillId="34" borderId="11" xfId="0" applyFill="1" applyBorder="1" applyAlignment="1">
      <alignment/>
    </xf>
    <xf numFmtId="0" fontId="0" fillId="0" borderId="13" xfId="0" applyBorder="1" applyAlignment="1">
      <alignment horizontal="center"/>
    </xf>
    <xf numFmtId="0" fontId="0" fillId="0" borderId="10" xfId="0" applyBorder="1" applyAlignment="1">
      <alignment horizontal="center"/>
    </xf>
    <xf numFmtId="164" fontId="0" fillId="35" borderId="0" xfId="0" applyNumberFormat="1" applyFill="1" applyAlignment="1">
      <alignment/>
    </xf>
    <xf numFmtId="0" fontId="48" fillId="0" borderId="0" xfId="0" applyFont="1" applyAlignment="1">
      <alignment/>
    </xf>
    <xf numFmtId="164" fontId="0" fillId="33" borderId="0" xfId="0" applyNumberFormat="1" applyFill="1" applyBorder="1" applyAlignment="1">
      <alignment/>
    </xf>
    <xf numFmtId="0" fontId="2" fillId="0" borderId="11" xfId="0" applyFont="1" applyBorder="1" applyAlignment="1">
      <alignment/>
    </xf>
    <xf numFmtId="0" fontId="48" fillId="34" borderId="11" xfId="0" applyFont="1" applyFill="1" applyBorder="1" applyAlignment="1">
      <alignment/>
    </xf>
    <xf numFmtId="164" fontId="48" fillId="34" borderId="11" xfId="0" applyNumberFormat="1" applyFont="1" applyFill="1" applyBorder="1" applyAlignment="1">
      <alignment/>
    </xf>
    <xf numFmtId="4" fontId="0" fillId="0" borderId="0" xfId="0" applyNumberFormat="1" applyBorder="1" applyAlignment="1">
      <alignment/>
    </xf>
    <xf numFmtId="4" fontId="48" fillId="0" borderId="0" xfId="0" applyNumberFormat="1" applyFont="1" applyAlignment="1">
      <alignment/>
    </xf>
    <xf numFmtId="0" fontId="48" fillId="0" borderId="0" xfId="0" applyFont="1" applyAlignment="1">
      <alignment horizontal="left"/>
    </xf>
    <xf numFmtId="0" fontId="0" fillId="0" borderId="0" xfId="0" applyAlignment="1">
      <alignment horizontal="left"/>
    </xf>
    <xf numFmtId="0" fontId="0" fillId="0" borderId="10" xfId="0" applyBorder="1" applyAlignment="1">
      <alignment horizontal="center"/>
    </xf>
    <xf numFmtId="0" fontId="3" fillId="0" borderId="0" xfId="0" applyFont="1" applyAlignment="1">
      <alignment horizontal="center"/>
    </xf>
    <xf numFmtId="3" fontId="0" fillId="0" borderId="0" xfId="0" applyNumberFormat="1" applyAlignment="1">
      <alignment horizontal="right"/>
    </xf>
    <xf numFmtId="0" fontId="0" fillId="0" borderId="0" xfId="0" applyAlignment="1">
      <alignment horizontal="right"/>
    </xf>
    <xf numFmtId="9" fontId="0" fillId="0" borderId="0" xfId="0" applyNumberFormat="1" applyAlignment="1">
      <alignment horizontal="right"/>
    </xf>
    <xf numFmtId="0" fontId="48" fillId="0" borderId="10" xfId="0" applyFont="1" applyBorder="1" applyAlignment="1">
      <alignment horizontal="center"/>
    </xf>
    <xf numFmtId="0" fontId="48" fillId="0" borderId="11" xfId="0" applyFont="1" applyBorder="1" applyAlignment="1">
      <alignment/>
    </xf>
    <xf numFmtId="0" fontId="48" fillId="0" borderId="11" xfId="0" applyFont="1" applyBorder="1" applyAlignment="1">
      <alignment horizontal="center"/>
    </xf>
    <xf numFmtId="0" fontId="4" fillId="0" borderId="0" xfId="0" applyFont="1" applyAlignment="1">
      <alignment/>
    </xf>
    <xf numFmtId="4" fontId="0" fillId="0" borderId="0" xfId="0" applyNumberFormat="1" applyAlignment="1">
      <alignment horizontal="center"/>
    </xf>
    <xf numFmtId="4" fontId="2" fillId="33" borderId="0" xfId="0" applyNumberFormat="1" applyFont="1" applyFill="1" applyAlignment="1">
      <alignment horizontal="center"/>
    </xf>
    <xf numFmtId="4" fontId="0" fillId="0" borderId="11" xfId="0" applyNumberFormat="1" applyBorder="1" applyAlignment="1">
      <alignment/>
    </xf>
    <xf numFmtId="4" fontId="2" fillId="33" borderId="11" xfId="0" applyNumberFormat="1" applyFont="1" applyFill="1" applyBorder="1" applyAlignment="1">
      <alignment horizontal="center"/>
    </xf>
    <xf numFmtId="0" fontId="50" fillId="0" borderId="0" xfId="0" applyFont="1" applyAlignment="1">
      <alignment horizontal="justify"/>
    </xf>
    <xf numFmtId="0" fontId="50" fillId="0" borderId="0" xfId="0" applyFont="1" applyAlignment="1">
      <alignment wrapText="1"/>
    </xf>
    <xf numFmtId="0" fontId="51" fillId="0" borderId="0" xfId="0" applyFont="1" applyAlignment="1">
      <alignment horizontal="center"/>
    </xf>
    <xf numFmtId="0" fontId="0" fillId="0" borderId="0" xfId="0" applyAlignment="1">
      <alignment/>
    </xf>
    <xf numFmtId="0" fontId="48" fillId="0" borderId="10" xfId="0" applyFont="1" applyBorder="1" applyAlignment="1">
      <alignment horizontal="left"/>
    </xf>
    <xf numFmtId="164" fontId="0" fillId="0" borderId="13" xfId="0" applyNumberFormat="1" applyBorder="1" applyAlignment="1">
      <alignment horizontal="center"/>
    </xf>
    <xf numFmtId="164" fontId="2" fillId="33" borderId="11" xfId="0" applyNumberFormat="1" applyFont="1" applyFill="1" applyBorder="1" applyAlignment="1">
      <alignment horizontal="center"/>
    </xf>
    <xf numFmtId="164" fontId="48" fillId="35" borderId="14" xfId="0" applyNumberFormat="1" applyFont="1" applyFill="1" applyBorder="1" applyAlignment="1">
      <alignment horizontal="center"/>
    </xf>
    <xf numFmtId="164" fontId="0" fillId="0" borderId="13" xfId="0" applyNumberFormat="1" applyBorder="1" applyAlignment="1">
      <alignment horizontal="right"/>
    </xf>
    <xf numFmtId="0" fontId="50" fillId="0" borderId="0" xfId="0" applyFont="1" applyAlignment="1">
      <alignment horizontal="left" vertical="center" wrapText="1"/>
    </xf>
    <xf numFmtId="0" fontId="50" fillId="0" borderId="0" xfId="0" applyFont="1" applyAlignment="1">
      <alignment horizontal="justify" vertical="center"/>
    </xf>
    <xf numFmtId="0" fontId="0" fillId="0" borderId="0" xfId="0" applyAlignment="1">
      <alignment/>
    </xf>
    <xf numFmtId="0" fontId="0" fillId="0" borderId="0" xfId="0" applyAlignment="1">
      <alignment horizontal="center"/>
    </xf>
    <xf numFmtId="3" fontId="0" fillId="0" borderId="11" xfId="0" applyNumberFormat="1" applyBorder="1" applyAlignment="1">
      <alignment/>
    </xf>
    <xf numFmtId="0" fontId="52" fillId="0" borderId="0" xfId="0" applyFont="1" applyAlignment="1">
      <alignment/>
    </xf>
    <xf numFmtId="0" fontId="52" fillId="0" borderId="0" xfId="0" applyFont="1" applyAlignment="1">
      <alignment horizontal="left"/>
    </xf>
    <xf numFmtId="0" fontId="52" fillId="0" borderId="0" xfId="0" applyFont="1" applyAlignment="1">
      <alignment horizontal="center"/>
    </xf>
    <xf numFmtId="0" fontId="0" fillId="0" borderId="0" xfId="0" applyAlignment="1">
      <alignment/>
    </xf>
    <xf numFmtId="0" fontId="0" fillId="0" borderId="0" xfId="0" applyAlignment="1" applyProtection="1">
      <alignment/>
      <protection locked="0"/>
    </xf>
    <xf numFmtId="4" fontId="0" fillId="0" borderId="0" xfId="0" applyNumberFormat="1" applyAlignment="1" applyProtection="1">
      <alignment/>
      <protection locked="0"/>
    </xf>
    <xf numFmtId="0" fontId="0" fillId="0" borderId="0" xfId="0" applyAlignment="1" applyProtection="1">
      <alignment/>
      <protection/>
    </xf>
    <xf numFmtId="164" fontId="0" fillId="0" borderId="0" xfId="0" applyNumberFormat="1" applyAlignment="1" applyProtection="1">
      <alignment/>
      <protection/>
    </xf>
    <xf numFmtId="164" fontId="0" fillId="0" borderId="0" xfId="0" applyNumberFormat="1" applyAlignment="1" applyProtection="1">
      <alignment/>
      <protection locked="0"/>
    </xf>
    <xf numFmtId="0" fontId="3" fillId="0" borderId="0" xfId="0" applyFont="1" applyAlignment="1" applyProtection="1">
      <alignment horizontal="center"/>
      <protection locked="0"/>
    </xf>
    <xf numFmtId="0" fontId="53" fillId="0" borderId="0" xfId="0" applyFont="1" applyAlignment="1" applyProtection="1">
      <alignment/>
      <protection locked="0"/>
    </xf>
    <xf numFmtId="0" fontId="48" fillId="0" borderId="11" xfId="0" applyFont="1" applyBorder="1" applyAlignment="1" applyProtection="1">
      <alignment/>
      <protection locked="0"/>
    </xf>
    <xf numFmtId="0" fontId="48" fillId="0" borderId="0" xfId="0" applyFont="1" applyAlignment="1" applyProtection="1">
      <alignment/>
      <protection locked="0"/>
    </xf>
    <xf numFmtId="4" fontId="48" fillId="0" borderId="0" xfId="0" applyNumberFormat="1" applyFont="1" applyAlignment="1" applyProtection="1">
      <alignment/>
      <protection locked="0"/>
    </xf>
    <xf numFmtId="4" fontId="0" fillId="0" borderId="0" xfId="0" applyNumberFormat="1" applyAlignment="1" applyProtection="1">
      <alignment/>
      <protection/>
    </xf>
    <xf numFmtId="0" fontId="54" fillId="0" borderId="0" xfId="0" applyFont="1" applyAlignment="1">
      <alignment horizontal="left"/>
    </xf>
    <xf numFmtId="0" fontId="0" fillId="0" borderId="0" xfId="0" applyAlignment="1" applyProtection="1">
      <alignment/>
      <protection locked="0"/>
    </xf>
    <xf numFmtId="0" fontId="0" fillId="0" borderId="0" xfId="0" applyAlignment="1" applyProtection="1">
      <alignment horizontal="center"/>
      <protection locked="0"/>
    </xf>
    <xf numFmtId="166" fontId="0" fillId="0" borderId="0" xfId="0" applyNumberFormat="1" applyAlignment="1" applyProtection="1">
      <alignment/>
      <protection locked="0"/>
    </xf>
    <xf numFmtId="166" fontId="0" fillId="0" borderId="0" xfId="0" applyNumberFormat="1" applyAlignment="1" applyProtection="1">
      <alignment horizontal="center"/>
      <protection locked="0"/>
    </xf>
    <xf numFmtId="0" fontId="0" fillId="0" borderId="0" xfId="0" applyAlignment="1" applyProtection="1">
      <alignment horizontal="left"/>
      <protection locked="0"/>
    </xf>
    <xf numFmtId="2" fontId="0" fillId="0" borderId="0" xfId="0" applyNumberFormat="1" applyAlignment="1" applyProtection="1">
      <alignment horizontal="left"/>
      <protection locked="0"/>
    </xf>
    <xf numFmtId="0" fontId="0" fillId="0" borderId="0" xfId="0" applyAlignment="1" applyProtection="1">
      <alignment wrapText="1"/>
      <protection locked="0"/>
    </xf>
    <xf numFmtId="166" fontId="0" fillId="0" borderId="0" xfId="0" applyNumberFormat="1" applyAlignment="1" applyProtection="1">
      <alignment horizontal="center"/>
      <protection/>
    </xf>
    <xf numFmtId="2" fontId="48" fillId="0" borderId="0" xfId="0" applyNumberFormat="1" applyFont="1" applyAlignment="1" applyProtection="1">
      <alignment horizontal="center"/>
      <protection/>
    </xf>
    <xf numFmtId="2" fontId="0" fillId="0" borderId="0" xfId="0" applyNumberFormat="1" applyAlignment="1" applyProtection="1">
      <alignment horizontal="center"/>
      <protection/>
    </xf>
    <xf numFmtId="2" fontId="0" fillId="0" borderId="0" xfId="0" applyNumberFormat="1" applyAlignment="1" applyProtection="1">
      <alignment/>
      <protection/>
    </xf>
    <xf numFmtId="0" fontId="0" fillId="0" borderId="0" xfId="0" applyAlignment="1" applyProtection="1">
      <alignment horizontal="right"/>
      <protection locked="0"/>
    </xf>
    <xf numFmtId="0" fontId="55" fillId="0" borderId="0" xfId="0" applyFont="1" applyAlignment="1" applyProtection="1">
      <alignment/>
      <protection locked="0"/>
    </xf>
    <xf numFmtId="0" fontId="0" fillId="0" borderId="0" xfId="0" applyAlignment="1" applyProtection="1">
      <alignment horizontal="center"/>
      <protection/>
    </xf>
    <xf numFmtId="0" fontId="48" fillId="0" borderId="0" xfId="0" applyFont="1" applyAlignment="1" applyProtection="1">
      <alignment/>
      <protection/>
    </xf>
    <xf numFmtId="0" fontId="48" fillId="0" borderId="0" xfId="0" applyFont="1" applyAlignment="1" applyProtection="1">
      <alignment horizontal="right"/>
      <protection/>
    </xf>
    <xf numFmtId="0" fontId="48" fillId="0" borderId="0" xfId="0" applyFont="1" applyAlignment="1" applyProtection="1">
      <alignment horizontal="center"/>
      <protection/>
    </xf>
    <xf numFmtId="0" fontId="0" fillId="0" borderId="0" xfId="0" applyAlignment="1" applyProtection="1">
      <alignment horizontal="right"/>
      <protection/>
    </xf>
    <xf numFmtId="0" fontId="0" fillId="0" borderId="0" xfId="0" applyFont="1" applyAlignment="1" applyProtection="1">
      <alignment/>
      <protection/>
    </xf>
    <xf numFmtId="0" fontId="0" fillId="0" borderId="10" xfId="0" applyBorder="1" applyAlignment="1" applyProtection="1">
      <alignment horizontal="center"/>
      <protection locked="0"/>
    </xf>
    <xf numFmtId="0" fontId="0" fillId="0" borderId="0" xfId="0" applyBorder="1" applyAlignment="1" applyProtection="1">
      <alignment horizontal="center"/>
      <protection locked="0"/>
    </xf>
    <xf numFmtId="3" fontId="0" fillId="0" borderId="0" xfId="0" applyNumberFormat="1" applyAlignment="1" applyProtection="1">
      <alignment horizontal="right"/>
      <protection locked="0"/>
    </xf>
    <xf numFmtId="0" fontId="0" fillId="0" borderId="13" xfId="0" applyBorder="1" applyAlignment="1" applyProtection="1">
      <alignment horizontal="center"/>
      <protection locked="0"/>
    </xf>
    <xf numFmtId="0" fontId="0" fillId="0" borderId="11" xfId="0" applyBorder="1" applyAlignment="1" applyProtection="1">
      <alignment horizontal="center"/>
      <protection locked="0"/>
    </xf>
    <xf numFmtId="3" fontId="0" fillId="0" borderId="0" xfId="0" applyNumberFormat="1" applyAlignment="1" applyProtection="1">
      <alignment horizontal="center"/>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4" fontId="0" fillId="0" borderId="0" xfId="0" applyNumberFormat="1" applyBorder="1" applyAlignment="1" applyProtection="1">
      <alignment/>
      <protection locked="0"/>
    </xf>
    <xf numFmtId="0" fontId="2" fillId="0" borderId="11" xfId="0" applyFont="1" applyBorder="1" applyAlignment="1" applyProtection="1">
      <alignment/>
      <protection locked="0"/>
    </xf>
    <xf numFmtId="3" fontId="0" fillId="0" borderId="11" xfId="0" applyNumberFormat="1" applyBorder="1" applyAlignment="1" applyProtection="1">
      <alignment/>
      <protection locked="0"/>
    </xf>
    <xf numFmtId="4" fontId="0" fillId="0" borderId="11" xfId="0" applyNumberFormat="1" applyBorder="1" applyAlignment="1" applyProtection="1">
      <alignment/>
      <protection locked="0"/>
    </xf>
    <xf numFmtId="165" fontId="0" fillId="0" borderId="0" xfId="0" applyNumberFormat="1" applyAlignment="1" applyProtection="1">
      <alignment horizontal="center"/>
      <protection locked="0"/>
    </xf>
    <xf numFmtId="0" fontId="2" fillId="0" borderId="0" xfId="0" applyFont="1" applyAlignment="1" applyProtection="1">
      <alignment/>
      <protection locked="0"/>
    </xf>
    <xf numFmtId="165" fontId="0" fillId="0" borderId="10" xfId="0" applyNumberFormat="1" applyBorder="1" applyAlignment="1" applyProtection="1">
      <alignment horizontal="center"/>
      <protection locked="0"/>
    </xf>
    <xf numFmtId="0" fontId="0" fillId="0" borderId="12" xfId="0" applyBorder="1" applyAlignment="1" applyProtection="1">
      <alignment horizontal="center"/>
      <protection locked="0"/>
    </xf>
    <xf numFmtId="0" fontId="0" fillId="0" borderId="12" xfId="0" applyBorder="1" applyAlignment="1" applyProtection="1">
      <alignment/>
      <protection locked="0"/>
    </xf>
    <xf numFmtId="164" fontId="0" fillId="0" borderId="12" xfId="0" applyNumberFormat="1" applyBorder="1" applyAlignment="1" applyProtection="1">
      <alignment/>
      <protection locked="0"/>
    </xf>
    <xf numFmtId="164" fontId="0" fillId="0" borderId="0" xfId="0" applyNumberFormat="1" applyAlignment="1" applyProtection="1">
      <alignment horizontal="center"/>
      <protection locked="0"/>
    </xf>
    <xf numFmtId="3" fontId="0" fillId="0" borderId="0" xfId="0" applyNumberFormat="1" applyBorder="1" applyAlignment="1" applyProtection="1">
      <alignment horizontal="center"/>
      <protection locked="0"/>
    </xf>
    <xf numFmtId="164" fontId="0" fillId="0" borderId="13" xfId="0" applyNumberFormat="1" applyBorder="1" applyAlignment="1" applyProtection="1">
      <alignment horizontal="center"/>
      <protection locked="0"/>
    </xf>
    <xf numFmtId="0" fontId="48" fillId="0" borderId="0" xfId="0" applyFont="1" applyAlignment="1" applyProtection="1">
      <alignment horizontal="left"/>
      <protection locked="0"/>
    </xf>
    <xf numFmtId="0" fontId="48" fillId="0" borderId="10" xfId="0" applyFont="1" applyBorder="1" applyAlignment="1" applyProtection="1">
      <alignment horizontal="left"/>
      <protection locked="0"/>
    </xf>
    <xf numFmtId="9" fontId="0" fillId="0" borderId="0" xfId="0" applyNumberFormat="1" applyAlignment="1" applyProtection="1">
      <alignment horizontal="center"/>
      <protection/>
    </xf>
    <xf numFmtId="9" fontId="0" fillId="0" borderId="11" xfId="0" applyNumberFormat="1" applyBorder="1" applyAlignment="1" applyProtection="1">
      <alignment horizontal="center"/>
      <protection/>
    </xf>
    <xf numFmtId="3" fontId="0" fillId="0" borderId="0" xfId="0" applyNumberFormat="1" applyAlignment="1" applyProtection="1">
      <alignment horizontal="center"/>
      <protection/>
    </xf>
    <xf numFmtId="3" fontId="0" fillId="0" borderId="0" xfId="0" applyNumberFormat="1" applyAlignment="1" applyProtection="1">
      <alignment horizontal="right"/>
      <protection/>
    </xf>
    <xf numFmtId="9" fontId="0" fillId="0" borderId="0" xfId="0" applyNumberFormat="1" applyAlignment="1" applyProtection="1">
      <alignment horizontal="right"/>
      <protection/>
    </xf>
    <xf numFmtId="164" fontId="0" fillId="0" borderId="11" xfId="0" applyNumberFormat="1" applyBorder="1" applyAlignment="1" applyProtection="1">
      <alignment/>
      <protection/>
    </xf>
    <xf numFmtId="164" fontId="0" fillId="33" borderId="0" xfId="0" applyNumberFormat="1" applyFill="1" applyBorder="1" applyAlignment="1" applyProtection="1">
      <alignment/>
      <protection/>
    </xf>
    <xf numFmtId="164" fontId="0" fillId="35" borderId="0" xfId="0" applyNumberFormat="1" applyFill="1" applyAlignment="1" applyProtection="1">
      <alignment/>
      <protection/>
    </xf>
    <xf numFmtId="0" fontId="0" fillId="0" borderId="0" xfId="0" applyNumberFormat="1" applyAlignment="1" applyProtection="1">
      <alignment horizontal="center"/>
      <protection/>
    </xf>
    <xf numFmtId="0" fontId="0" fillId="35" borderId="0" xfId="0" applyNumberFormat="1" applyFill="1" applyAlignment="1" applyProtection="1">
      <alignment horizontal="center"/>
      <protection/>
    </xf>
    <xf numFmtId="4" fontId="2" fillId="33" borderId="11" xfId="0" applyNumberFormat="1" applyFont="1" applyFill="1" applyBorder="1" applyAlignment="1" applyProtection="1">
      <alignment horizontal="center"/>
      <protection/>
    </xf>
    <xf numFmtId="9" fontId="0" fillId="0" borderId="0" xfId="0" applyNumberFormat="1" applyBorder="1" applyAlignment="1" applyProtection="1">
      <alignment horizontal="center"/>
      <protection/>
    </xf>
    <xf numFmtId="9" fontId="0" fillId="0" borderId="13" xfId="0" applyNumberFormat="1" applyBorder="1" applyAlignment="1" applyProtection="1">
      <alignment horizontal="center"/>
      <protection/>
    </xf>
    <xf numFmtId="9" fontId="0" fillId="0" borderId="14" xfId="0" applyNumberFormat="1" applyBorder="1" applyAlignment="1" applyProtection="1">
      <alignment horizontal="center"/>
      <protection/>
    </xf>
    <xf numFmtId="164" fontId="0" fillId="0" borderId="0" xfId="0" applyNumberFormat="1" applyAlignment="1" applyProtection="1">
      <alignment horizontal="right"/>
      <protection/>
    </xf>
    <xf numFmtId="164" fontId="0" fillId="0" borderId="13" xfId="0" applyNumberFormat="1" applyBorder="1" applyAlignment="1" applyProtection="1">
      <alignment horizontal="right"/>
      <protection/>
    </xf>
    <xf numFmtId="164" fontId="2" fillId="33" borderId="11" xfId="0" applyNumberFormat="1" applyFont="1" applyFill="1" applyBorder="1" applyAlignment="1" applyProtection="1">
      <alignment horizontal="right"/>
      <protection/>
    </xf>
    <xf numFmtId="3" fontId="0" fillId="0" borderId="11" xfId="0" applyNumberFormat="1" applyBorder="1" applyAlignment="1" applyProtection="1">
      <alignment horizontal="center"/>
      <protection/>
    </xf>
    <xf numFmtId="164" fontId="0" fillId="0" borderId="0" xfId="0" applyNumberFormat="1" applyBorder="1" applyAlignment="1" applyProtection="1">
      <alignment horizontal="center"/>
      <protection/>
    </xf>
    <xf numFmtId="164" fontId="0" fillId="0" borderId="0" xfId="0" applyNumberFormat="1" applyAlignment="1" applyProtection="1">
      <alignment horizontal="center"/>
      <protection/>
    </xf>
    <xf numFmtId="164" fontId="0" fillId="0" borderId="13" xfId="0" applyNumberFormat="1" applyBorder="1" applyAlignment="1" applyProtection="1">
      <alignment horizontal="center"/>
      <protection/>
    </xf>
    <xf numFmtId="164" fontId="2" fillId="33" borderId="11" xfId="0" applyNumberFormat="1" applyFont="1" applyFill="1" applyBorder="1" applyAlignment="1" applyProtection="1">
      <alignment horizontal="center"/>
      <protection/>
    </xf>
    <xf numFmtId="164" fontId="48" fillId="35" borderId="14" xfId="0" applyNumberFormat="1" applyFont="1" applyFill="1" applyBorder="1" applyAlignment="1" applyProtection="1">
      <alignment horizontal="center"/>
      <protection/>
    </xf>
    <xf numFmtId="164" fontId="0" fillId="35" borderId="0" xfId="0" applyNumberFormat="1" applyFill="1" applyAlignment="1" applyProtection="1">
      <alignment horizontal="center"/>
      <protection/>
    </xf>
    <xf numFmtId="164" fontId="0" fillId="33" borderId="12" xfId="0" applyNumberFormat="1" applyFill="1" applyBorder="1" applyAlignment="1" applyProtection="1">
      <alignment/>
      <protection/>
    </xf>
    <xf numFmtId="164" fontId="2" fillId="33" borderId="11" xfId="0" applyNumberFormat="1" applyFont="1" applyFill="1" applyBorder="1" applyAlignment="1" applyProtection="1">
      <alignment/>
      <protection/>
    </xf>
    <xf numFmtId="164" fontId="0" fillId="0" borderId="11" xfId="0" applyNumberFormat="1" applyBorder="1" applyAlignment="1" applyProtection="1">
      <alignment horizontal="center"/>
      <protection/>
    </xf>
    <xf numFmtId="3" fontId="0" fillId="0" borderId="12" xfId="0" applyNumberFormat="1" applyBorder="1" applyAlignment="1" applyProtection="1">
      <alignment horizontal="center"/>
      <protection/>
    </xf>
    <xf numFmtId="3" fontId="0" fillId="0" borderId="0" xfId="0" applyNumberFormat="1" applyBorder="1" applyAlignment="1" applyProtection="1">
      <alignment/>
      <protection locked="0"/>
    </xf>
    <xf numFmtId="4" fontId="2" fillId="33" borderId="0" xfId="0" applyNumberFormat="1" applyFont="1" applyFill="1" applyBorder="1" applyAlignment="1" applyProtection="1">
      <alignment horizontal="center"/>
      <protection/>
    </xf>
    <xf numFmtId="3" fontId="0" fillId="0" borderId="0" xfId="0" applyNumberFormat="1" applyAlignment="1" applyProtection="1">
      <alignment horizontal="left"/>
      <protection/>
    </xf>
    <xf numFmtId="0" fontId="48" fillId="0" borderId="0" xfId="0" applyFont="1" applyAlignment="1" applyProtection="1">
      <alignment horizontal="left"/>
      <protection/>
    </xf>
    <xf numFmtId="0" fontId="50" fillId="0" borderId="0" xfId="0" applyFont="1" applyAlignment="1">
      <alignment vertical="center" wrapText="1"/>
    </xf>
    <xf numFmtId="0" fontId="0" fillId="0" borderId="0" xfId="0" applyAlignment="1">
      <alignment/>
    </xf>
    <xf numFmtId="0" fontId="0" fillId="0" borderId="0" xfId="0" applyAlignment="1" applyProtection="1">
      <alignment horizontal="center"/>
      <protection locked="0"/>
    </xf>
    <xf numFmtId="0" fontId="0" fillId="0" borderId="0" xfId="0" applyAlignment="1" applyProtection="1">
      <alignment horizontal="left"/>
      <protection/>
    </xf>
    <xf numFmtId="0" fontId="48" fillId="0" borderId="0" xfId="0" applyFont="1" applyAlignment="1" applyProtection="1">
      <alignment horizontal="center"/>
      <protection locked="0"/>
    </xf>
    <xf numFmtId="0" fontId="0" fillId="0" borderId="15" xfId="0" applyBorder="1" applyAlignment="1" applyProtection="1">
      <alignment/>
      <protection locked="0"/>
    </xf>
    <xf numFmtId="0" fontId="56" fillId="0" borderId="13" xfId="0" applyFont="1" applyBorder="1" applyAlignment="1" applyProtection="1">
      <alignment horizontal="center"/>
      <protection locked="0"/>
    </xf>
    <xf numFmtId="0" fontId="0" fillId="0" borderId="13" xfId="0" applyBorder="1" applyAlignment="1" applyProtection="1">
      <alignment/>
      <protection locked="0"/>
    </xf>
    <xf numFmtId="0" fontId="48" fillId="0" borderId="13" xfId="0" applyFont="1" applyBorder="1" applyAlignment="1" applyProtection="1">
      <alignment/>
      <protection locked="0"/>
    </xf>
    <xf numFmtId="0" fontId="48" fillId="0" borderId="13" xfId="0" applyFont="1" applyBorder="1" applyAlignment="1" applyProtection="1">
      <alignment horizontal="center"/>
      <protection locked="0"/>
    </xf>
    <xf numFmtId="166" fontId="0" fillId="0" borderId="11" xfId="0" applyNumberFormat="1" applyBorder="1" applyAlignment="1" applyProtection="1">
      <alignment horizontal="center"/>
      <protection locked="0"/>
    </xf>
    <xf numFmtId="166" fontId="0" fillId="0" borderId="11" xfId="0" applyNumberFormat="1" applyBorder="1" applyAlignment="1" applyProtection="1">
      <alignment horizontal="center"/>
      <protection/>
    </xf>
    <xf numFmtId="0" fontId="48" fillId="0" borderId="15" xfId="0" applyFont="1" applyBorder="1" applyAlignment="1" applyProtection="1">
      <alignment/>
      <protection locked="0"/>
    </xf>
    <xf numFmtId="0" fontId="54" fillId="0" borderId="13" xfId="0" applyFont="1" applyBorder="1" applyAlignment="1" applyProtection="1">
      <alignment horizontal="center"/>
      <protection locked="0"/>
    </xf>
    <xf numFmtId="0" fontId="48" fillId="0" borderId="15" xfId="0" applyFont="1" applyBorder="1" applyAlignment="1" applyProtection="1">
      <alignment horizontal="center"/>
      <protection locked="0"/>
    </xf>
    <xf numFmtId="0" fontId="0" fillId="0" borderId="0" xfId="0" applyFill="1" applyAlignment="1" applyProtection="1">
      <alignment horizontal="left"/>
      <protection locked="0"/>
    </xf>
    <xf numFmtId="2" fontId="0" fillId="0" borderId="13" xfId="0" applyNumberFormat="1" applyBorder="1" applyAlignment="1" applyProtection="1">
      <alignment horizontal="center"/>
      <protection/>
    </xf>
    <xf numFmtId="0" fontId="0" fillId="0" borderId="13" xfId="0" applyBorder="1" applyAlignment="1" applyProtection="1">
      <alignment horizontal="left"/>
      <protection locked="0"/>
    </xf>
    <xf numFmtId="0" fontId="57" fillId="0" borderId="0" xfId="0" applyFont="1" applyAlignment="1" applyProtection="1">
      <alignment/>
      <protection/>
    </xf>
    <xf numFmtId="0" fontId="48" fillId="0" borderId="13" xfId="0" applyFont="1" applyBorder="1" applyAlignment="1" applyProtection="1">
      <alignment/>
      <protection/>
    </xf>
    <xf numFmtId="0" fontId="48" fillId="0" borderId="13" xfId="0" applyFont="1" applyBorder="1" applyAlignment="1" applyProtection="1">
      <alignment horizontal="center"/>
      <protection/>
    </xf>
    <xf numFmtId="0" fontId="0" fillId="0" borderId="13" xfId="0" applyBorder="1" applyAlignment="1" applyProtection="1">
      <alignment/>
      <protection/>
    </xf>
    <xf numFmtId="0" fontId="0" fillId="0" borderId="13" xfId="0" applyBorder="1" applyAlignment="1" applyProtection="1">
      <alignment horizontal="center"/>
      <protection/>
    </xf>
    <xf numFmtId="0" fontId="48" fillId="0" borderId="15" xfId="0" applyFont="1" applyBorder="1" applyAlignment="1" applyProtection="1">
      <alignment/>
      <protection/>
    </xf>
    <xf numFmtId="0" fontId="48" fillId="0" borderId="15" xfId="0" applyFont="1" applyBorder="1" applyAlignment="1" applyProtection="1">
      <alignment horizontal="center"/>
      <protection/>
    </xf>
    <xf numFmtId="2" fontId="0" fillId="0" borderId="0" xfId="0" applyNumberFormat="1" applyAlignment="1" applyProtection="1">
      <alignment horizontal="center"/>
      <protection locked="0"/>
    </xf>
    <xf numFmtId="0" fontId="48" fillId="0" borderId="15" xfId="0" applyFont="1" applyBorder="1" applyAlignment="1" applyProtection="1">
      <alignment horizontal="left"/>
      <protection/>
    </xf>
    <xf numFmtId="2" fontId="0" fillId="0" borderId="15" xfId="0" applyNumberFormat="1" applyBorder="1" applyAlignment="1" applyProtection="1">
      <alignment horizontal="left"/>
      <protection locked="0"/>
    </xf>
    <xf numFmtId="2" fontId="0" fillId="0" borderId="15" xfId="0" applyNumberFormat="1" applyBorder="1" applyAlignment="1" applyProtection="1">
      <alignment horizontal="center"/>
      <protection/>
    </xf>
    <xf numFmtId="0" fontId="0" fillId="0" borderId="15" xfId="0" applyBorder="1" applyAlignment="1" applyProtection="1">
      <alignment horizontal="left"/>
      <protection/>
    </xf>
    <xf numFmtId="0" fontId="0" fillId="0" borderId="15" xfId="0" applyBorder="1" applyAlignment="1" applyProtection="1">
      <alignment horizontal="center"/>
      <protection/>
    </xf>
    <xf numFmtId="0" fontId="48" fillId="0" borderId="13" xfId="0" applyFont="1" applyBorder="1" applyAlignment="1" applyProtection="1">
      <alignment horizontal="left"/>
      <protection/>
    </xf>
    <xf numFmtId="0" fontId="58" fillId="0" borderId="0" xfId="0" applyFont="1" applyAlignment="1" applyProtection="1">
      <alignment/>
      <protection/>
    </xf>
    <xf numFmtId="0" fontId="53" fillId="0" borderId="13" xfId="0" applyFont="1" applyBorder="1" applyAlignment="1" applyProtection="1">
      <alignment horizontal="center"/>
      <protection locked="0"/>
    </xf>
    <xf numFmtId="0" fontId="0" fillId="0" borderId="13" xfId="0" applyFont="1" applyBorder="1" applyAlignment="1" applyProtection="1">
      <alignment horizontal="center"/>
      <protection/>
    </xf>
    <xf numFmtId="0" fontId="53" fillId="0" borderId="13" xfId="0" applyFont="1" applyBorder="1" applyAlignment="1" applyProtection="1">
      <alignment/>
      <protection/>
    </xf>
    <xf numFmtId="0" fontId="48" fillId="0" borderId="0" xfId="0" applyFont="1" applyAlignment="1" applyProtection="1" quotePrefix="1">
      <alignment horizontal="center"/>
      <protection/>
    </xf>
    <xf numFmtId="0" fontId="0" fillId="0" borderId="0" xfId="0" applyFill="1" applyAlignment="1" applyProtection="1">
      <alignment/>
      <protection locked="0"/>
    </xf>
    <xf numFmtId="0" fontId="48" fillId="0" borderId="0" xfId="0" applyFont="1" applyFill="1" applyAlignment="1" applyProtection="1">
      <alignment horizontal="left"/>
      <protection locked="0"/>
    </xf>
    <xf numFmtId="0" fontId="48" fillId="0" borderId="0" xfId="0" applyFont="1" applyFill="1" applyAlignment="1" applyProtection="1">
      <alignment/>
      <protection locked="0"/>
    </xf>
    <xf numFmtId="4" fontId="0" fillId="0" borderId="0" xfId="0" applyNumberFormat="1" applyFill="1" applyAlignment="1" applyProtection="1">
      <alignment/>
      <protection locked="0"/>
    </xf>
    <xf numFmtId="4" fontId="0" fillId="0" borderId="0" xfId="0" applyNumberFormat="1" applyFill="1" applyAlignment="1" applyProtection="1">
      <alignment/>
      <protection/>
    </xf>
    <xf numFmtId="0" fontId="48" fillId="36" borderId="11" xfId="0" applyFont="1" applyFill="1" applyBorder="1" applyAlignment="1" applyProtection="1">
      <alignment/>
      <protection locked="0"/>
    </xf>
    <xf numFmtId="0" fontId="0" fillId="36" borderId="11" xfId="0" applyFill="1" applyBorder="1" applyAlignment="1" applyProtection="1">
      <alignment/>
      <protection locked="0"/>
    </xf>
    <xf numFmtId="164" fontId="48" fillId="36" borderId="11" xfId="0" applyNumberFormat="1" applyFont="1" applyFill="1" applyBorder="1" applyAlignment="1" applyProtection="1">
      <alignment/>
      <protection/>
    </xf>
    <xf numFmtId="0" fontId="0" fillId="0" borderId="0" xfId="0" applyFill="1" applyAlignment="1">
      <alignment/>
    </xf>
    <xf numFmtId="0" fontId="48" fillId="0" borderId="0" xfId="0" applyFont="1" applyFill="1" applyAlignment="1">
      <alignment horizontal="left"/>
    </xf>
    <xf numFmtId="4" fontId="0" fillId="0" borderId="0" xfId="0" applyNumberFormat="1" applyFill="1" applyAlignment="1">
      <alignment/>
    </xf>
    <xf numFmtId="0" fontId="48" fillId="0" borderId="0" xfId="0" applyFont="1" applyFill="1" applyAlignment="1">
      <alignment/>
    </xf>
    <xf numFmtId="0" fontId="0" fillId="0" borderId="0" xfId="0" applyFill="1" applyBorder="1" applyAlignment="1" applyProtection="1">
      <alignment/>
      <protection locked="0"/>
    </xf>
    <xf numFmtId="0" fontId="48" fillId="36" borderId="11" xfId="0" applyFont="1" applyFill="1" applyBorder="1" applyAlignment="1">
      <alignment/>
    </xf>
    <xf numFmtId="0" fontId="0" fillId="36" borderId="11" xfId="0" applyFill="1" applyBorder="1" applyAlignment="1">
      <alignment/>
    </xf>
    <xf numFmtId="164" fontId="48" fillId="36" borderId="11" xfId="0" applyNumberFormat="1" applyFont="1" applyFill="1" applyBorder="1" applyAlignment="1">
      <alignment/>
    </xf>
    <xf numFmtId="0" fontId="48" fillId="0" borderId="10" xfId="0" applyFont="1" applyBorder="1" applyAlignment="1" applyProtection="1">
      <alignment horizontal="left"/>
      <protection/>
    </xf>
    <xf numFmtId="0" fontId="48" fillId="0" borderId="11" xfId="0" applyFont="1" applyBorder="1" applyAlignment="1" applyProtection="1">
      <alignment/>
      <protection/>
    </xf>
    <xf numFmtId="0" fontId="0" fillId="0" borderId="0" xfId="0" applyFill="1" applyAlignment="1" applyProtection="1">
      <alignment/>
      <protection/>
    </xf>
    <xf numFmtId="0" fontId="48" fillId="0" borderId="0" xfId="0" applyFont="1" applyFill="1" applyAlignment="1" applyProtection="1">
      <alignment horizontal="left"/>
      <protection/>
    </xf>
    <xf numFmtId="0" fontId="48" fillId="0" borderId="0" xfId="0" applyFont="1" applyFill="1" applyAlignment="1" applyProtection="1">
      <alignment/>
      <protection/>
    </xf>
    <xf numFmtId="0" fontId="0" fillId="36" borderId="11" xfId="0" applyFill="1" applyBorder="1" applyAlignment="1" applyProtection="1">
      <alignment/>
      <protection/>
    </xf>
    <xf numFmtId="0" fontId="48" fillId="36" borderId="11" xfId="0" applyFont="1" applyFill="1" applyBorder="1" applyAlignment="1" applyProtection="1">
      <alignment/>
      <protection/>
    </xf>
    <xf numFmtId="0" fontId="48" fillId="0" borderId="10" xfId="0" applyFont="1" applyBorder="1" applyAlignment="1" applyProtection="1">
      <alignment horizontal="center"/>
      <protection/>
    </xf>
    <xf numFmtId="0" fontId="48" fillId="0" borderId="11" xfId="0" applyFont="1" applyBorder="1" applyAlignment="1" applyProtection="1">
      <alignment horizontal="center"/>
      <protection/>
    </xf>
    <xf numFmtId="0" fontId="48" fillId="0" borderId="0" xfId="0" applyFont="1" applyAlignment="1">
      <alignment/>
    </xf>
    <xf numFmtId="0" fontId="3" fillId="0" borderId="0" xfId="0" applyFont="1" applyAlignment="1">
      <alignment horizontal="center"/>
    </xf>
    <xf numFmtId="0" fontId="59" fillId="0" borderId="0" xfId="0" applyFont="1" applyAlignment="1">
      <alignment horizontal="center"/>
    </xf>
    <xf numFmtId="17" fontId="0" fillId="0" borderId="0" xfId="0" applyNumberFormat="1" applyAlignment="1">
      <alignment horizontal="center"/>
    </xf>
    <xf numFmtId="0" fontId="0" fillId="0" borderId="0" xfId="0" applyAlignment="1">
      <alignment horizontal="center"/>
    </xf>
    <xf numFmtId="0" fontId="50" fillId="0" borderId="0" xfId="0" applyFont="1" applyAlignment="1">
      <alignment horizontal="center" vertical="center" wrapText="1"/>
    </xf>
    <xf numFmtId="0" fontId="48" fillId="0" borderId="10" xfId="0" applyFont="1" applyBorder="1" applyAlignment="1">
      <alignment horizontal="left"/>
    </xf>
    <xf numFmtId="0" fontId="48" fillId="0" borderId="0" xfId="0" applyFont="1" applyFill="1" applyAlignment="1">
      <alignment horizontal="left"/>
    </xf>
    <xf numFmtId="0" fontId="48" fillId="0" borderId="0" xfId="0" applyFont="1" applyFill="1" applyAlignment="1" applyProtection="1">
      <alignment horizontal="left"/>
      <protection locked="0"/>
    </xf>
    <xf numFmtId="0" fontId="0" fillId="0" borderId="16" xfId="0" applyBorder="1" applyAlignment="1">
      <alignment horizontal="center"/>
    </xf>
    <xf numFmtId="0" fontId="0" fillId="0" borderId="10" xfId="0" applyBorder="1" applyAlignment="1">
      <alignment horizontal="center"/>
    </xf>
    <xf numFmtId="0" fontId="48" fillId="0" borderId="0" xfId="0" applyFont="1" applyFill="1" applyAlignment="1" applyProtection="1">
      <alignment horizontal="left"/>
      <protection/>
    </xf>
    <xf numFmtId="0" fontId="3" fillId="0" borderId="0" xfId="0" applyFont="1" applyAlignment="1" applyProtection="1">
      <alignment horizontal="center"/>
      <protection locked="0"/>
    </xf>
    <xf numFmtId="0" fontId="59" fillId="0" borderId="0" xfId="0" applyFont="1" applyAlignment="1" applyProtection="1">
      <alignment horizontal="center"/>
      <protection locked="0"/>
    </xf>
    <xf numFmtId="0" fontId="0" fillId="0" borderId="16" xfId="0" applyBorder="1" applyAlignment="1" applyProtection="1">
      <alignment horizontal="center"/>
      <protection locked="0"/>
    </xf>
    <xf numFmtId="0" fontId="60" fillId="0" borderId="0" xfId="0" applyFont="1" applyAlignment="1">
      <alignment horizontal="center"/>
    </xf>
    <xf numFmtId="0" fontId="58" fillId="0" borderId="15" xfId="0" applyFont="1" applyBorder="1" applyAlignment="1" applyProtection="1">
      <alignment horizontal="center"/>
      <protection locked="0"/>
    </xf>
    <xf numFmtId="0" fontId="48" fillId="0" borderId="13" xfId="0" applyFont="1" applyBorder="1" applyAlignment="1" applyProtection="1">
      <alignment horizontal="center"/>
      <protection locked="0"/>
    </xf>
    <xf numFmtId="0" fontId="48" fillId="0" borderId="15" xfId="0" applyFont="1" applyBorder="1" applyAlignment="1" applyProtection="1">
      <alignment horizontal="center"/>
      <protection locked="0"/>
    </xf>
    <xf numFmtId="0" fontId="0" fillId="0" borderId="0" xfId="0" applyAlignment="1" applyProtection="1">
      <alignment horizontal="left"/>
      <protection locked="0"/>
    </xf>
    <xf numFmtId="0" fontId="54" fillId="0" borderId="15" xfId="0" applyFont="1" applyBorder="1" applyAlignment="1" applyProtection="1">
      <alignment horizontal="center"/>
      <protection locked="0"/>
    </xf>
    <xf numFmtId="0" fontId="54" fillId="0" borderId="0" xfId="0" applyFont="1" applyAlignment="1" applyProtection="1">
      <alignment horizontal="center"/>
      <protection/>
    </xf>
    <xf numFmtId="0" fontId="0" fillId="0" borderId="0" xfId="0" applyAlignment="1" applyProtection="1">
      <alignment horizontal="left"/>
      <protection/>
    </xf>
    <xf numFmtId="0" fontId="54" fillId="0" borderId="13" xfId="0" applyFont="1" applyBorder="1" applyAlignment="1" applyProtection="1">
      <alignment horizontal="center"/>
      <protection/>
    </xf>
    <xf numFmtId="0" fontId="53" fillId="0" borderId="0" xfId="0" applyFont="1" applyAlignment="1" applyProtection="1">
      <alignment horizontal="center"/>
      <protection/>
    </xf>
    <xf numFmtId="0" fontId="53" fillId="0" borderId="17" xfId="0" applyFont="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4"/>
  <sheetViews>
    <sheetView zoomScalePageLayoutView="0" workbookViewId="0" topLeftCell="A1">
      <selection activeCell="L17" sqref="L17"/>
    </sheetView>
  </sheetViews>
  <sheetFormatPr defaultColWidth="9.140625" defaultRowHeight="15"/>
  <sheetData>
    <row r="1" spans="1:9" ht="15">
      <c r="A1" s="225" t="s">
        <v>121</v>
      </c>
      <c r="B1" s="225"/>
      <c r="C1" s="225"/>
      <c r="D1" s="225"/>
      <c r="E1" s="225"/>
      <c r="F1" s="225"/>
      <c r="G1" s="225"/>
      <c r="H1" s="225"/>
      <c r="I1" s="225"/>
    </row>
    <row r="2" spans="1:9" ht="15">
      <c r="A2" s="225" t="s">
        <v>142</v>
      </c>
      <c r="B2" s="225"/>
      <c r="C2" s="225"/>
      <c r="D2" s="225"/>
      <c r="E2" s="225"/>
      <c r="F2" s="225"/>
      <c r="G2" s="225"/>
      <c r="H2" s="225"/>
      <c r="I2" s="225"/>
    </row>
    <row r="3" spans="1:9" ht="15">
      <c r="A3" s="226" t="s">
        <v>143</v>
      </c>
      <c r="B3" s="226"/>
      <c r="C3" s="226"/>
      <c r="D3" s="226"/>
      <c r="E3" s="226"/>
      <c r="F3" s="226"/>
      <c r="G3" s="226"/>
      <c r="H3" s="226"/>
      <c r="I3" s="226"/>
    </row>
    <row r="5" spans="1:9" ht="15">
      <c r="A5" s="227">
        <v>41153</v>
      </c>
      <c r="B5" s="228"/>
      <c r="C5" s="228"/>
      <c r="D5" s="228"/>
      <c r="E5" s="228"/>
      <c r="F5" s="228"/>
      <c r="G5" s="228"/>
      <c r="H5" s="228"/>
      <c r="I5" s="228"/>
    </row>
    <row r="7" spans="3:5" ht="15">
      <c r="C7" s="52"/>
      <c r="E7" s="1" t="s">
        <v>126</v>
      </c>
    </row>
    <row r="8" spans="2:9" ht="15">
      <c r="B8" s="52" t="s">
        <v>133</v>
      </c>
      <c r="D8" s="52"/>
      <c r="E8" s="52"/>
      <c r="F8" s="52"/>
      <c r="G8" s="52"/>
      <c r="H8" s="52"/>
      <c r="I8" s="52"/>
    </row>
    <row r="9" spans="2:5" ht="15">
      <c r="B9" s="52" t="s">
        <v>127</v>
      </c>
      <c r="C9" s="52"/>
      <c r="D9" s="52"/>
      <c r="E9" s="52"/>
    </row>
    <row r="10" spans="2:5" ht="15">
      <c r="B10" s="52"/>
      <c r="C10" s="52"/>
      <c r="D10" s="52"/>
      <c r="E10" s="52"/>
    </row>
    <row r="11" spans="4:6" ht="15">
      <c r="D11" s="52"/>
      <c r="E11" s="224" t="s">
        <v>130</v>
      </c>
      <c r="F11" s="224"/>
    </row>
    <row r="12" spans="2:5" ht="15">
      <c r="B12" s="52" t="s">
        <v>132</v>
      </c>
      <c r="D12" s="52"/>
      <c r="E12" s="52"/>
    </row>
    <row r="13" spans="2:5" ht="15">
      <c r="B13" s="52" t="s">
        <v>131</v>
      </c>
      <c r="C13" s="52"/>
      <c r="D13" s="52"/>
      <c r="E13" s="52"/>
    </row>
    <row r="15" ht="15">
      <c r="E15" s="1" t="s">
        <v>136</v>
      </c>
    </row>
    <row r="16" ht="15">
      <c r="B16" s="52" t="s">
        <v>129</v>
      </c>
    </row>
    <row r="17" ht="15">
      <c r="B17" s="52" t="s">
        <v>128</v>
      </c>
    </row>
    <row r="19" s="60" customFormat="1" ht="15">
      <c r="E19" s="1" t="s">
        <v>137</v>
      </c>
    </row>
    <row r="20" s="60" customFormat="1" ht="15">
      <c r="B20" s="52" t="s">
        <v>129</v>
      </c>
    </row>
    <row r="21" s="60" customFormat="1" ht="15">
      <c r="B21" s="52" t="s">
        <v>128</v>
      </c>
    </row>
    <row r="22" s="60" customFormat="1" ht="15"/>
    <row r="23" s="60" customFormat="1" ht="15">
      <c r="E23" s="1" t="s">
        <v>138</v>
      </c>
    </row>
    <row r="24" s="60" customFormat="1" ht="15">
      <c r="B24" s="52" t="s">
        <v>501</v>
      </c>
    </row>
    <row r="25" s="60" customFormat="1" ht="15">
      <c r="B25" s="52" t="s">
        <v>139</v>
      </c>
    </row>
    <row r="26" s="163" customFormat="1" ht="15">
      <c r="B26" s="52"/>
    </row>
    <row r="27" s="163" customFormat="1" ht="15">
      <c r="E27" s="1" t="s">
        <v>540</v>
      </c>
    </row>
    <row r="28" s="163" customFormat="1" ht="15">
      <c r="B28" s="52" t="s">
        <v>541</v>
      </c>
    </row>
    <row r="29" s="163" customFormat="1" ht="15">
      <c r="B29" s="52" t="s">
        <v>542</v>
      </c>
    </row>
    <row r="31" spans="2:10" ht="139.5" customHeight="1">
      <c r="B31" s="229" t="s">
        <v>505</v>
      </c>
      <c r="C31" s="229"/>
      <c r="D31" s="229"/>
      <c r="E31" s="229"/>
      <c r="F31" s="229"/>
      <c r="G31" s="229"/>
      <c r="H31" s="229"/>
      <c r="I31" s="229"/>
      <c r="J31" s="229"/>
    </row>
    <row r="32" spans="2:10" ht="15">
      <c r="B32" s="229"/>
      <c r="C32" s="229"/>
      <c r="D32" s="229"/>
      <c r="E32" s="229"/>
      <c r="F32" s="229"/>
      <c r="G32" s="229"/>
      <c r="H32" s="229"/>
      <c r="I32" s="229"/>
      <c r="J32" s="229"/>
    </row>
    <row r="33" spans="2:10" ht="15">
      <c r="B33" s="229"/>
      <c r="C33" s="229"/>
      <c r="D33" s="229"/>
      <c r="E33" s="229"/>
      <c r="F33" s="229"/>
      <c r="G33" s="229"/>
      <c r="H33" s="229"/>
      <c r="I33" s="229"/>
      <c r="J33" s="229"/>
    </row>
    <row r="34" spans="2:10" ht="15">
      <c r="B34" s="229"/>
      <c r="C34" s="229"/>
      <c r="D34" s="229"/>
      <c r="E34" s="229"/>
      <c r="F34" s="229"/>
      <c r="G34" s="229"/>
      <c r="H34" s="229"/>
      <c r="I34" s="229"/>
      <c r="J34" s="229"/>
    </row>
  </sheetData>
  <sheetProtection/>
  <mergeCells count="6">
    <mergeCell ref="E11:F11"/>
    <mergeCell ref="A1:I1"/>
    <mergeCell ref="A2:I2"/>
    <mergeCell ref="A3:I3"/>
    <mergeCell ref="A5:I5"/>
    <mergeCell ref="B31:J34"/>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0070C0"/>
  </sheetPr>
  <dimension ref="A1:X112"/>
  <sheetViews>
    <sheetView tabSelected="1" zoomScalePageLayoutView="0" workbookViewId="0" topLeftCell="A1">
      <selection activeCell="G26" sqref="G26"/>
    </sheetView>
  </sheetViews>
  <sheetFormatPr defaultColWidth="9.140625" defaultRowHeight="15"/>
  <cols>
    <col min="1" max="1" width="35.28125" style="75" bestFit="1" customWidth="1"/>
    <col min="2" max="2" width="32.28125" style="75" bestFit="1" customWidth="1"/>
    <col min="3" max="3" width="40.8515625" style="75" bestFit="1" customWidth="1"/>
    <col min="4" max="4" width="19.8515625" style="75" bestFit="1" customWidth="1"/>
    <col min="5" max="5" width="16.57421875" style="75" bestFit="1" customWidth="1"/>
    <col min="6" max="6" width="35.140625" style="75" bestFit="1" customWidth="1"/>
    <col min="7" max="7" width="12.7109375" style="75" bestFit="1" customWidth="1"/>
    <col min="8" max="8" width="17.57421875" style="75" bestFit="1" customWidth="1"/>
    <col min="9" max="9" width="14.421875" style="75" bestFit="1" customWidth="1"/>
    <col min="10" max="10" width="16.140625" style="75" bestFit="1" customWidth="1"/>
    <col min="11" max="11" width="10.140625" style="75" bestFit="1" customWidth="1"/>
    <col min="12" max="12" width="11.00390625" style="75" bestFit="1" customWidth="1"/>
    <col min="13" max="16384" width="9.140625" style="75" customWidth="1"/>
  </cols>
  <sheetData>
    <row r="1" spans="1:11" ht="21">
      <c r="A1" s="77" t="s">
        <v>514</v>
      </c>
      <c r="B1" s="75">
        <v>20</v>
      </c>
      <c r="E1" s="247" t="s">
        <v>224</v>
      </c>
      <c r="F1" s="247"/>
      <c r="G1" s="247"/>
      <c r="H1" s="247"/>
      <c r="I1" s="247"/>
      <c r="J1" s="247"/>
      <c r="K1" s="247"/>
    </row>
    <row r="2" spans="1:11" ht="15.75">
      <c r="A2" s="77" t="s">
        <v>211</v>
      </c>
      <c r="B2" s="75">
        <v>500</v>
      </c>
      <c r="E2" s="248" t="s">
        <v>223</v>
      </c>
      <c r="F2" s="248"/>
      <c r="G2" s="248"/>
      <c r="H2" s="248"/>
      <c r="I2" s="248"/>
      <c r="J2" s="248"/>
      <c r="K2" s="248"/>
    </row>
    <row r="3" spans="1:11" ht="18.75">
      <c r="A3" s="77" t="s">
        <v>235</v>
      </c>
      <c r="B3" s="77">
        <f>B1*B2</f>
        <v>10000</v>
      </c>
      <c r="C3" s="194" t="s">
        <v>228</v>
      </c>
      <c r="D3" s="195" t="s">
        <v>222</v>
      </c>
      <c r="E3" s="196" t="s">
        <v>216</v>
      </c>
      <c r="F3" s="196" t="s">
        <v>217</v>
      </c>
      <c r="G3" s="196" t="s">
        <v>218</v>
      </c>
      <c r="H3" s="196" t="s">
        <v>220</v>
      </c>
      <c r="I3" s="196" t="s">
        <v>221</v>
      </c>
      <c r="J3" s="196" t="s">
        <v>219</v>
      </c>
      <c r="K3" s="196" t="s">
        <v>225</v>
      </c>
    </row>
    <row r="4" spans="3:11" ht="15">
      <c r="C4" s="77" t="s">
        <v>216</v>
      </c>
      <c r="D4" s="164">
        <v>0</v>
      </c>
      <c r="E4" s="100">
        <f>CONVERT($D4,"oz","oz")</f>
        <v>0</v>
      </c>
      <c r="F4" s="100">
        <f>CONVERT($D4,"oz","tsp")</f>
        <v>0</v>
      </c>
      <c r="G4" s="100">
        <f>CONVERT($D4,"oz","tbs")</f>
        <v>0</v>
      </c>
      <c r="H4" s="100">
        <f>CONVERT($D4,"oz","us_pt")</f>
        <v>0</v>
      </c>
      <c r="I4" s="100">
        <f>CONVERT($D4,"oz","qt")</f>
        <v>0</v>
      </c>
      <c r="J4" s="100">
        <f>CONVERT($D4,"oz","gal")</f>
        <v>0</v>
      </c>
      <c r="K4" s="100">
        <f>CONVERT($D4,"oz","l")</f>
        <v>0</v>
      </c>
    </row>
    <row r="5" spans="3:11" ht="15">
      <c r="C5" s="77" t="s">
        <v>217</v>
      </c>
      <c r="D5" s="164">
        <v>0</v>
      </c>
      <c r="E5" s="100">
        <f>CONVERT($D5,"tsp","oz")</f>
        <v>0</v>
      </c>
      <c r="F5" s="100">
        <f>CONVERT($D5,"tsp","tsp")</f>
        <v>0</v>
      </c>
      <c r="G5" s="100">
        <f>CONVERT($D5,"tsp","tbs")</f>
        <v>0</v>
      </c>
      <c r="H5" s="100">
        <f>CONVERT($D5,"tsp","us_pt")</f>
        <v>0</v>
      </c>
      <c r="I5" s="100">
        <f>CONVERT($D5,"tsp","qt")</f>
        <v>0</v>
      </c>
      <c r="J5" s="100">
        <f>CONVERT($D5,"tsp","gal")</f>
        <v>0</v>
      </c>
      <c r="K5" s="100">
        <f>CONVERT($D5,"tsp","l")</f>
        <v>0</v>
      </c>
    </row>
    <row r="6" spans="3:11" ht="15">
      <c r="C6" s="77" t="s">
        <v>218</v>
      </c>
      <c r="D6" s="164">
        <v>0</v>
      </c>
      <c r="E6" s="100">
        <f>CONVERT($D6,"tbs","oz")</f>
        <v>0</v>
      </c>
      <c r="F6" s="100">
        <f>CONVERT($D6,"tbs","tsp")</f>
        <v>0</v>
      </c>
      <c r="G6" s="100">
        <f>CONVERT($D6,"tbs","tbs")</f>
        <v>0</v>
      </c>
      <c r="H6" s="100">
        <f>CONVERT($D6,"tbs","us_pt")</f>
        <v>0</v>
      </c>
      <c r="I6" s="100">
        <f>CONVERT($D6,"tbs","qt")</f>
        <v>0</v>
      </c>
      <c r="J6" s="100">
        <f>CONVERT($D6,"tbs","gal")</f>
        <v>0</v>
      </c>
      <c r="K6" s="100">
        <f>CONVERT($D6,"tbs","l")</f>
        <v>0</v>
      </c>
    </row>
    <row r="7" spans="3:11" ht="15">
      <c r="C7" s="77" t="s">
        <v>220</v>
      </c>
      <c r="D7" s="164">
        <v>0</v>
      </c>
      <c r="E7" s="100">
        <f>CONVERT($D7,"us_pt","oz")</f>
        <v>0</v>
      </c>
      <c r="F7" s="100">
        <f>CONVERT($D7,"us_pt","tsp")</f>
        <v>0</v>
      </c>
      <c r="G7" s="100">
        <f>CONVERT($D7,"us_pt","tbs")</f>
        <v>0</v>
      </c>
      <c r="H7" s="100">
        <f>CONVERT($D7,"us_pt","us_pt")</f>
        <v>0</v>
      </c>
      <c r="I7" s="100">
        <f>CONVERT($D7,"us_pt","qt")</f>
        <v>0</v>
      </c>
      <c r="J7" s="100">
        <f>CONVERT($D7,"us_pt","gal")</f>
        <v>0</v>
      </c>
      <c r="K7" s="100">
        <f>CONVERT($D7,"us_pt","l")</f>
        <v>0</v>
      </c>
    </row>
    <row r="8" spans="3:11" ht="15">
      <c r="C8" s="77" t="s">
        <v>221</v>
      </c>
      <c r="D8" s="164">
        <v>0</v>
      </c>
      <c r="E8" s="100">
        <f>CONVERT($D8,"qt","oz")</f>
        <v>0</v>
      </c>
      <c r="F8" s="100">
        <f>CONVERT($D8,"qt","tsp")</f>
        <v>0</v>
      </c>
      <c r="G8" s="100">
        <f>CONVERT($D8,"qt","tbs")</f>
        <v>0</v>
      </c>
      <c r="H8" s="100">
        <f>CONVERT($D8,"qt","us_pt")</f>
        <v>0</v>
      </c>
      <c r="I8" s="100">
        <f>CONVERT($D8,"qt","qt")</f>
        <v>0</v>
      </c>
      <c r="J8" s="100">
        <f>CONVERT($D8,"qt","gal")</f>
        <v>0</v>
      </c>
      <c r="K8" s="100">
        <f>CONVERT($D8,"qt","l")</f>
        <v>0</v>
      </c>
    </row>
    <row r="9" spans="3:11" ht="15">
      <c r="C9" s="77" t="s">
        <v>219</v>
      </c>
      <c r="D9" s="164">
        <v>0</v>
      </c>
      <c r="E9" s="100">
        <f>CONVERT($D9,"gal","oz")</f>
        <v>0</v>
      </c>
      <c r="F9" s="100">
        <f>CONVERT($D9,"gal","tsp")</f>
        <v>0</v>
      </c>
      <c r="G9" s="100">
        <f>CONVERT($D9,"gal","tbs")</f>
        <v>0</v>
      </c>
      <c r="H9" s="100">
        <f>CONVERT($D9,"gal","us_pt")</f>
        <v>0</v>
      </c>
      <c r="I9" s="100">
        <f>CONVERT($D9,"gal","qt")</f>
        <v>0</v>
      </c>
      <c r="J9" s="100">
        <f>CONVERT($D9,"gal","gal")</f>
        <v>0</v>
      </c>
      <c r="K9" s="100">
        <f>CONVERT($D9,"gal","l")</f>
        <v>0</v>
      </c>
    </row>
    <row r="10" spans="3:11" ht="15">
      <c r="C10" s="183" t="s">
        <v>225</v>
      </c>
      <c r="D10" s="109">
        <v>0</v>
      </c>
      <c r="E10" s="184">
        <f>CONVERT($D10,"l","oz")</f>
        <v>0</v>
      </c>
      <c r="F10" s="184">
        <f>CONVERT($D10,"l","tsp")</f>
        <v>0</v>
      </c>
      <c r="G10" s="184">
        <f>CONVERT($D10,"l","tbs")</f>
        <v>0</v>
      </c>
      <c r="H10" s="184">
        <f>CONVERT($D10,"l","us_pt")</f>
        <v>0</v>
      </c>
      <c r="I10" s="184">
        <f>CONVERT($D10,"l","qt")</f>
        <v>0</v>
      </c>
      <c r="J10" s="184">
        <f>CONVERT($D10,"l","gal")</f>
        <v>0</v>
      </c>
      <c r="K10" s="184">
        <f>CONVERT($D10,"l","l")</f>
        <v>0</v>
      </c>
    </row>
    <row r="11" spans="3:11" ht="15">
      <c r="C11" s="77" t="s">
        <v>376</v>
      </c>
      <c r="D11" s="164"/>
      <c r="E11" s="100">
        <f>SUM(E4:E10)</f>
        <v>0</v>
      </c>
      <c r="F11" s="100">
        <f aca="true" t="shared" si="0" ref="F11:K11">SUM(F4:F10)</f>
        <v>0</v>
      </c>
      <c r="G11" s="100">
        <f t="shared" si="0"/>
        <v>0</v>
      </c>
      <c r="H11" s="100">
        <f t="shared" si="0"/>
        <v>0</v>
      </c>
      <c r="I11" s="100">
        <f t="shared" si="0"/>
        <v>0</v>
      </c>
      <c r="J11" s="100">
        <f t="shared" si="0"/>
        <v>0</v>
      </c>
      <c r="K11" s="100">
        <f t="shared" si="0"/>
        <v>0</v>
      </c>
    </row>
    <row r="12" spans="3:11" ht="15.75">
      <c r="C12" s="77"/>
      <c r="E12" s="249" t="s">
        <v>229</v>
      </c>
      <c r="F12" s="249"/>
      <c r="G12" s="249"/>
      <c r="H12" s="100"/>
      <c r="I12" s="100"/>
      <c r="J12" s="100"/>
      <c r="K12" s="100"/>
    </row>
    <row r="13" spans="3:11" ht="15.75">
      <c r="C13" s="197" t="s">
        <v>227</v>
      </c>
      <c r="D13" s="195" t="s">
        <v>222</v>
      </c>
      <c r="E13" s="196" t="s">
        <v>213</v>
      </c>
      <c r="F13" s="196" t="s">
        <v>214</v>
      </c>
      <c r="G13" s="196" t="s">
        <v>215</v>
      </c>
      <c r="H13" s="100"/>
      <c r="I13" s="100"/>
      <c r="J13" s="100"/>
      <c r="K13" s="100"/>
    </row>
    <row r="14" spans="3:11" ht="15">
      <c r="C14" s="77" t="s">
        <v>213</v>
      </c>
      <c r="D14" s="164">
        <v>0</v>
      </c>
      <c r="E14" s="100">
        <f>CONVERT($D14,"ozm","ozm")</f>
        <v>0</v>
      </c>
      <c r="F14" s="100">
        <f>CONVERT($D14,"ozm","lbm")</f>
        <v>0</v>
      </c>
      <c r="G14" s="100">
        <f>CONVERT($D14,"ozm","g")</f>
        <v>0</v>
      </c>
      <c r="H14" s="100"/>
      <c r="I14" s="100"/>
      <c r="J14" s="100"/>
      <c r="K14" s="100"/>
    </row>
    <row r="15" spans="3:11" ht="15">
      <c r="C15" s="77" t="s">
        <v>214</v>
      </c>
      <c r="D15" s="164">
        <v>0</v>
      </c>
      <c r="E15" s="100">
        <f>CONVERT($D15,"lbm","ozm")</f>
        <v>0</v>
      </c>
      <c r="F15" s="100">
        <f>CONVERT($D15,"lbm","lbm")</f>
        <v>0</v>
      </c>
      <c r="G15" s="100">
        <f>CONVERT($D15,"lbm","g")</f>
        <v>0</v>
      </c>
      <c r="H15" s="100"/>
      <c r="I15" s="100"/>
      <c r="J15" s="100"/>
      <c r="K15" s="100"/>
    </row>
    <row r="16" spans="3:11" ht="15">
      <c r="C16" s="183" t="s">
        <v>215</v>
      </c>
      <c r="D16" s="109">
        <v>0</v>
      </c>
      <c r="E16" s="184">
        <f>CONVERT($D16,"g","ozm")</f>
        <v>0</v>
      </c>
      <c r="F16" s="184">
        <f>CONVERT($D16,"g","lbm")</f>
        <v>0</v>
      </c>
      <c r="G16" s="184">
        <f>CONVERT($D16,"g","g")</f>
        <v>0</v>
      </c>
      <c r="H16" s="100"/>
      <c r="I16" s="100"/>
      <c r="J16" s="100"/>
      <c r="K16" s="100"/>
    </row>
    <row r="17" spans="3:11" ht="15">
      <c r="C17" s="77" t="s">
        <v>376</v>
      </c>
      <c r="D17" s="164"/>
      <c r="E17" s="100">
        <f>SUM(E14:E16)</f>
        <v>0</v>
      </c>
      <c r="F17" s="100">
        <f>SUM(F14:F16)</f>
        <v>0</v>
      </c>
      <c r="G17" s="100">
        <f>SUM(G14:G16)</f>
        <v>0</v>
      </c>
      <c r="H17" s="100"/>
      <c r="I17" s="100"/>
      <c r="J17" s="100"/>
      <c r="K17" s="100"/>
    </row>
    <row r="18" spans="4:11" ht="15">
      <c r="D18" s="164"/>
      <c r="E18" s="164"/>
      <c r="F18" s="164"/>
      <c r="G18" s="164"/>
      <c r="H18" s="164"/>
      <c r="I18" s="164"/>
      <c r="J18" s="164"/>
      <c r="K18" s="164"/>
    </row>
    <row r="20" spans="1:4" ht="15">
      <c r="A20" s="77"/>
      <c r="B20" s="77"/>
      <c r="C20" s="77"/>
      <c r="D20" s="77"/>
    </row>
    <row r="21" spans="1:12" ht="15">
      <c r="A21" s="77"/>
      <c r="B21" s="77"/>
      <c r="C21" s="77"/>
      <c r="D21" s="77"/>
      <c r="E21" s="101"/>
      <c r="F21" s="103" t="s">
        <v>204</v>
      </c>
      <c r="G21" s="103" t="s">
        <v>205</v>
      </c>
      <c r="H21" s="103" t="s">
        <v>212</v>
      </c>
      <c r="I21" s="103" t="s">
        <v>208</v>
      </c>
      <c r="J21" s="103" t="s">
        <v>24</v>
      </c>
      <c r="K21" s="103" t="s">
        <v>209</v>
      </c>
      <c r="L21" s="103" t="s">
        <v>231</v>
      </c>
    </row>
    <row r="22" spans="1:12" ht="15">
      <c r="A22" s="77"/>
      <c r="B22" s="77"/>
      <c r="C22" s="77"/>
      <c r="D22" s="77"/>
      <c r="E22" s="101" t="s">
        <v>201</v>
      </c>
      <c r="F22" s="103" t="s">
        <v>230</v>
      </c>
      <c r="G22" s="103" t="s">
        <v>206</v>
      </c>
      <c r="H22" s="103" t="s">
        <v>379</v>
      </c>
      <c r="I22" s="103" t="s">
        <v>207</v>
      </c>
      <c r="J22" s="103" t="s">
        <v>202</v>
      </c>
      <c r="K22" s="103" t="s">
        <v>210</v>
      </c>
      <c r="L22" s="103" t="s">
        <v>232</v>
      </c>
    </row>
    <row r="23" spans="1:12" ht="18.75">
      <c r="A23" s="194" t="s">
        <v>203</v>
      </c>
      <c r="B23" s="77"/>
      <c r="C23" s="77"/>
      <c r="D23" s="77"/>
      <c r="E23" s="101"/>
      <c r="F23" s="103" t="s">
        <v>384</v>
      </c>
      <c r="G23" s="101"/>
      <c r="H23" s="101" t="s">
        <v>378</v>
      </c>
      <c r="I23" s="101"/>
      <c r="J23" s="101"/>
      <c r="K23" s="101"/>
      <c r="L23" s="101"/>
    </row>
    <row r="24" spans="1:12" ht="15">
      <c r="A24" s="181" t="s">
        <v>250</v>
      </c>
      <c r="B24" s="181" t="s">
        <v>301</v>
      </c>
      <c r="C24" s="181" t="s">
        <v>305</v>
      </c>
      <c r="D24" s="182" t="s">
        <v>279</v>
      </c>
      <c r="E24" s="181"/>
      <c r="F24" s="182" t="s">
        <v>385</v>
      </c>
      <c r="G24" s="181"/>
      <c r="H24" s="181" t="s">
        <v>377</v>
      </c>
      <c r="I24" s="181"/>
      <c r="J24" s="181"/>
      <c r="K24" s="181"/>
      <c r="L24" s="181"/>
    </row>
    <row r="25" spans="1:21" ht="15">
      <c r="A25" s="101" t="s">
        <v>401</v>
      </c>
      <c r="B25" s="101" t="s">
        <v>251</v>
      </c>
      <c r="C25" s="101" t="s">
        <v>364</v>
      </c>
      <c r="D25" s="102" t="s">
        <v>280</v>
      </c>
      <c r="E25" s="103">
        <v>90</v>
      </c>
      <c r="F25" s="103">
        <v>16</v>
      </c>
      <c r="G25" s="95">
        <v>5.625</v>
      </c>
      <c r="H25" s="103">
        <v>20</v>
      </c>
      <c r="I25" s="103">
        <v>1</v>
      </c>
      <c r="J25" s="95">
        <v>112.5</v>
      </c>
      <c r="K25" s="95">
        <v>2250</v>
      </c>
      <c r="L25" s="95">
        <v>0.225</v>
      </c>
      <c r="N25" s="103"/>
      <c r="O25" s="103"/>
      <c r="P25" s="103"/>
      <c r="Q25" s="103"/>
      <c r="R25" s="103"/>
      <c r="S25" s="103"/>
      <c r="T25" s="103"/>
      <c r="U25" s="103"/>
    </row>
    <row r="26" spans="1:12" ht="15">
      <c r="A26" s="77" t="s">
        <v>252</v>
      </c>
      <c r="B26" s="77" t="s">
        <v>251</v>
      </c>
      <c r="C26" s="77" t="s">
        <v>364</v>
      </c>
      <c r="D26" s="104" t="s">
        <v>280</v>
      </c>
      <c r="G26" s="96">
        <f aca="true" t="shared" si="1" ref="G26:G86">IF(F26=0,0,E26/F26)</f>
        <v>0</v>
      </c>
      <c r="J26" s="96">
        <f aca="true" t="shared" si="2" ref="J26:J85">G26*H26*I26</f>
        <v>0</v>
      </c>
      <c r="K26" s="96">
        <f aca="true" t="shared" si="3" ref="K26:K85">J26*$B$1</f>
        <v>0</v>
      </c>
      <c r="L26" s="96">
        <f aca="true" t="shared" si="4" ref="L26:L85">K26/$B$3</f>
        <v>0</v>
      </c>
    </row>
    <row r="27" spans="1:12" ht="15">
      <c r="A27" s="77" t="s">
        <v>254</v>
      </c>
      <c r="B27" s="77" t="s">
        <v>253</v>
      </c>
      <c r="C27" s="77" t="s">
        <v>365</v>
      </c>
      <c r="D27" s="104" t="s">
        <v>281</v>
      </c>
      <c r="G27" s="96">
        <f t="shared" si="1"/>
        <v>0</v>
      </c>
      <c r="J27" s="96">
        <f t="shared" si="2"/>
        <v>0</v>
      </c>
      <c r="K27" s="96">
        <f t="shared" si="3"/>
        <v>0</v>
      </c>
      <c r="L27" s="96">
        <f t="shared" si="4"/>
        <v>0</v>
      </c>
    </row>
    <row r="28" spans="1:12" ht="15">
      <c r="A28" s="77" t="s">
        <v>255</v>
      </c>
      <c r="B28" s="77" t="s">
        <v>256</v>
      </c>
      <c r="C28" s="77" t="s">
        <v>366</v>
      </c>
      <c r="D28" s="104" t="s">
        <v>282</v>
      </c>
      <c r="G28" s="96">
        <f t="shared" si="1"/>
        <v>0</v>
      </c>
      <c r="J28" s="96">
        <f t="shared" si="2"/>
        <v>0</v>
      </c>
      <c r="K28" s="96">
        <f t="shared" si="3"/>
        <v>0</v>
      </c>
      <c r="L28" s="96">
        <f t="shared" si="4"/>
        <v>0</v>
      </c>
    </row>
    <row r="29" spans="1:24" ht="15">
      <c r="A29" s="77" t="s">
        <v>257</v>
      </c>
      <c r="B29" s="77" t="s">
        <v>258</v>
      </c>
      <c r="C29" s="77" t="s">
        <v>367</v>
      </c>
      <c r="D29" s="104" t="s">
        <v>283</v>
      </c>
      <c r="G29" s="96">
        <f t="shared" si="1"/>
        <v>0</v>
      </c>
      <c r="J29" s="96">
        <f t="shared" si="2"/>
        <v>0</v>
      </c>
      <c r="K29" s="96">
        <f t="shared" si="3"/>
        <v>0</v>
      </c>
      <c r="L29" s="96">
        <f t="shared" si="4"/>
        <v>0</v>
      </c>
      <c r="Q29" s="103"/>
      <c r="R29" s="103"/>
      <c r="S29" s="103"/>
      <c r="T29" s="103"/>
      <c r="U29" s="103"/>
      <c r="V29" s="103"/>
      <c r="W29" s="103"/>
      <c r="X29" s="103"/>
    </row>
    <row r="30" spans="1:12" ht="15">
      <c r="A30" s="77" t="s">
        <v>259</v>
      </c>
      <c r="B30" s="77" t="s">
        <v>258</v>
      </c>
      <c r="C30" s="77" t="s">
        <v>367</v>
      </c>
      <c r="D30" s="104" t="s">
        <v>283</v>
      </c>
      <c r="G30" s="96">
        <f t="shared" si="1"/>
        <v>0</v>
      </c>
      <c r="J30" s="96">
        <f t="shared" si="2"/>
        <v>0</v>
      </c>
      <c r="K30" s="96">
        <f t="shared" si="3"/>
        <v>0</v>
      </c>
      <c r="L30" s="96">
        <f t="shared" si="4"/>
        <v>0</v>
      </c>
    </row>
    <row r="31" spans="1:12" ht="15">
      <c r="A31" s="77" t="s">
        <v>260</v>
      </c>
      <c r="B31" s="77" t="s">
        <v>261</v>
      </c>
      <c r="C31" s="77" t="s">
        <v>368</v>
      </c>
      <c r="D31" s="104" t="s">
        <v>280</v>
      </c>
      <c r="G31" s="96">
        <f t="shared" si="1"/>
        <v>0</v>
      </c>
      <c r="J31" s="96">
        <f t="shared" si="2"/>
        <v>0</v>
      </c>
      <c r="K31" s="96">
        <f t="shared" si="3"/>
        <v>0</v>
      </c>
      <c r="L31" s="96">
        <f t="shared" si="4"/>
        <v>0</v>
      </c>
    </row>
    <row r="32" spans="1:12" ht="15">
      <c r="A32" s="77" t="s">
        <v>262</v>
      </c>
      <c r="B32" s="77" t="s">
        <v>263</v>
      </c>
      <c r="C32" s="77" t="s">
        <v>369</v>
      </c>
      <c r="D32" s="104" t="s">
        <v>279</v>
      </c>
      <c r="G32" s="96">
        <f t="shared" si="1"/>
        <v>0</v>
      </c>
      <c r="J32" s="96">
        <f t="shared" si="2"/>
        <v>0</v>
      </c>
      <c r="K32" s="96">
        <f t="shared" si="3"/>
        <v>0</v>
      </c>
      <c r="L32" s="96">
        <f t="shared" si="4"/>
        <v>0</v>
      </c>
    </row>
    <row r="33" spans="1:12" ht="15">
      <c r="A33" s="77" t="s">
        <v>264</v>
      </c>
      <c r="B33" s="77" t="s">
        <v>265</v>
      </c>
      <c r="C33" s="77" t="s">
        <v>364</v>
      </c>
      <c r="D33" s="104" t="s">
        <v>284</v>
      </c>
      <c r="G33" s="96">
        <f t="shared" si="1"/>
        <v>0</v>
      </c>
      <c r="J33" s="96">
        <f t="shared" si="2"/>
        <v>0</v>
      </c>
      <c r="K33" s="96">
        <f t="shared" si="3"/>
        <v>0</v>
      </c>
      <c r="L33" s="96">
        <f t="shared" si="4"/>
        <v>0</v>
      </c>
    </row>
    <row r="34" spans="1:12" ht="15">
      <c r="A34" s="77" t="s">
        <v>266</v>
      </c>
      <c r="B34" s="77" t="s">
        <v>243</v>
      </c>
      <c r="C34" s="77" t="s">
        <v>370</v>
      </c>
      <c r="D34" s="104" t="s">
        <v>285</v>
      </c>
      <c r="G34" s="96">
        <f t="shared" si="1"/>
        <v>0</v>
      </c>
      <c r="J34" s="96">
        <f t="shared" si="2"/>
        <v>0</v>
      </c>
      <c r="K34" s="96">
        <f t="shared" si="3"/>
        <v>0</v>
      </c>
      <c r="L34" s="96">
        <f t="shared" si="4"/>
        <v>0</v>
      </c>
    </row>
    <row r="35" spans="1:12" ht="15">
      <c r="A35" s="77" t="s">
        <v>267</v>
      </c>
      <c r="B35" s="77" t="s">
        <v>243</v>
      </c>
      <c r="C35" s="77" t="s">
        <v>370</v>
      </c>
      <c r="D35" s="104" t="s">
        <v>285</v>
      </c>
      <c r="G35" s="96">
        <f t="shared" si="1"/>
        <v>0</v>
      </c>
      <c r="J35" s="96">
        <f t="shared" si="2"/>
        <v>0</v>
      </c>
      <c r="K35" s="96">
        <f t="shared" si="3"/>
        <v>0</v>
      </c>
      <c r="L35" s="96">
        <f t="shared" si="4"/>
        <v>0</v>
      </c>
    </row>
    <row r="36" spans="1:12" ht="15">
      <c r="A36" s="77" t="s">
        <v>268</v>
      </c>
      <c r="B36" s="77" t="s">
        <v>269</v>
      </c>
      <c r="C36" s="77" t="s">
        <v>371</v>
      </c>
      <c r="D36" s="104" t="s">
        <v>286</v>
      </c>
      <c r="G36" s="96">
        <f t="shared" si="1"/>
        <v>0</v>
      </c>
      <c r="J36" s="96">
        <f t="shared" si="2"/>
        <v>0</v>
      </c>
      <c r="K36" s="96">
        <f t="shared" si="3"/>
        <v>0</v>
      </c>
      <c r="L36" s="96">
        <f t="shared" si="4"/>
        <v>0</v>
      </c>
    </row>
    <row r="37" spans="1:12" ht="15">
      <c r="A37" s="77" t="s">
        <v>270</v>
      </c>
      <c r="B37" s="77" t="s">
        <v>271</v>
      </c>
      <c r="C37" s="77" t="s">
        <v>372</v>
      </c>
      <c r="D37" s="104" t="s">
        <v>287</v>
      </c>
      <c r="G37" s="96">
        <f t="shared" si="1"/>
        <v>0</v>
      </c>
      <c r="J37" s="96">
        <f t="shared" si="2"/>
        <v>0</v>
      </c>
      <c r="K37" s="96">
        <f t="shared" si="3"/>
        <v>0</v>
      </c>
      <c r="L37" s="96">
        <f t="shared" si="4"/>
        <v>0</v>
      </c>
    </row>
    <row r="38" spans="1:12" ht="15">
      <c r="A38" s="77" t="s">
        <v>272</v>
      </c>
      <c r="B38" s="77" t="s">
        <v>273</v>
      </c>
      <c r="C38" s="77" t="s">
        <v>371</v>
      </c>
      <c r="D38" s="104" t="s">
        <v>288</v>
      </c>
      <c r="G38" s="96">
        <f t="shared" si="1"/>
        <v>0</v>
      </c>
      <c r="J38" s="96">
        <f t="shared" si="2"/>
        <v>0</v>
      </c>
      <c r="K38" s="96">
        <f t="shared" si="3"/>
        <v>0</v>
      </c>
      <c r="L38" s="96">
        <f t="shared" si="4"/>
        <v>0</v>
      </c>
    </row>
    <row r="39" spans="1:12" ht="15">
      <c r="A39" s="77" t="s">
        <v>274</v>
      </c>
      <c r="B39" s="77" t="s">
        <v>290</v>
      </c>
      <c r="C39" s="77" t="s">
        <v>373</v>
      </c>
      <c r="D39" s="104" t="s">
        <v>147</v>
      </c>
      <c r="G39" s="96">
        <f t="shared" si="1"/>
        <v>0</v>
      </c>
      <c r="J39" s="96">
        <f t="shared" si="2"/>
        <v>0</v>
      </c>
      <c r="K39" s="96">
        <f t="shared" si="3"/>
        <v>0</v>
      </c>
      <c r="L39" s="96">
        <f t="shared" si="4"/>
        <v>0</v>
      </c>
    </row>
    <row r="40" spans="1:12" ht="15">
      <c r="A40" s="77" t="s">
        <v>277</v>
      </c>
      <c r="B40" s="77" t="s">
        <v>278</v>
      </c>
      <c r="C40" s="77" t="s">
        <v>375</v>
      </c>
      <c r="D40" s="104" t="s">
        <v>289</v>
      </c>
      <c r="G40" s="96">
        <f t="shared" si="1"/>
        <v>0</v>
      </c>
      <c r="J40" s="96">
        <f t="shared" si="2"/>
        <v>0</v>
      </c>
      <c r="K40" s="96">
        <f t="shared" si="3"/>
        <v>0</v>
      </c>
      <c r="L40" s="96">
        <f t="shared" si="4"/>
        <v>0</v>
      </c>
    </row>
    <row r="41" spans="1:12" ht="15">
      <c r="A41" s="77" t="s">
        <v>275</v>
      </c>
      <c r="B41" s="77" t="s">
        <v>276</v>
      </c>
      <c r="C41" s="77" t="s">
        <v>374</v>
      </c>
      <c r="D41" s="104" t="s">
        <v>280</v>
      </c>
      <c r="G41" s="96">
        <f t="shared" si="1"/>
        <v>0</v>
      </c>
      <c r="J41" s="96">
        <f t="shared" si="2"/>
        <v>0</v>
      </c>
      <c r="K41" s="96">
        <f t="shared" si="3"/>
        <v>0</v>
      </c>
      <c r="L41" s="96">
        <f t="shared" si="4"/>
        <v>0</v>
      </c>
    </row>
    <row r="42" spans="1:12" ht="15">
      <c r="A42" s="83" t="s">
        <v>402</v>
      </c>
      <c r="D42" s="98"/>
      <c r="G42" s="96">
        <f t="shared" si="1"/>
        <v>0</v>
      </c>
      <c r="J42" s="96">
        <f t="shared" si="2"/>
        <v>0</v>
      </c>
      <c r="K42" s="96">
        <f t="shared" si="3"/>
        <v>0</v>
      </c>
      <c r="L42" s="96">
        <f t="shared" si="4"/>
        <v>0</v>
      </c>
    </row>
    <row r="43" spans="4:12" ht="15">
      <c r="D43" s="98"/>
      <c r="G43" s="96">
        <f t="shared" si="1"/>
        <v>0</v>
      </c>
      <c r="J43" s="96">
        <f t="shared" si="2"/>
        <v>0</v>
      </c>
      <c r="K43" s="96">
        <f t="shared" si="3"/>
        <v>0</v>
      </c>
      <c r="L43" s="96">
        <f t="shared" si="4"/>
        <v>0</v>
      </c>
    </row>
    <row r="44" spans="4:12" ht="15">
      <c r="D44" s="98"/>
      <c r="G44" s="96">
        <f t="shared" si="1"/>
        <v>0</v>
      </c>
      <c r="J44" s="96">
        <f t="shared" si="2"/>
        <v>0</v>
      </c>
      <c r="K44" s="96">
        <f t="shared" si="3"/>
        <v>0</v>
      </c>
      <c r="L44" s="96">
        <f t="shared" si="4"/>
        <v>0</v>
      </c>
    </row>
    <row r="45" spans="4:12" ht="15">
      <c r="D45" s="98"/>
      <c r="G45" s="96">
        <f t="shared" si="1"/>
        <v>0</v>
      </c>
      <c r="J45" s="96">
        <f t="shared" si="2"/>
        <v>0</v>
      </c>
      <c r="K45" s="96">
        <f t="shared" si="3"/>
        <v>0</v>
      </c>
      <c r="L45" s="96">
        <f t="shared" si="4"/>
        <v>0</v>
      </c>
    </row>
    <row r="46" spans="4:12" ht="15">
      <c r="D46" s="98"/>
      <c r="G46" s="96">
        <f t="shared" si="1"/>
        <v>0</v>
      </c>
      <c r="J46" s="96">
        <f t="shared" si="2"/>
        <v>0</v>
      </c>
      <c r="K46" s="96">
        <f t="shared" si="3"/>
        <v>0</v>
      </c>
      <c r="L46" s="96">
        <f t="shared" si="4"/>
        <v>0</v>
      </c>
    </row>
    <row r="47" spans="1:12" ht="15">
      <c r="A47" s="101" t="s">
        <v>249</v>
      </c>
      <c r="B47" s="77" t="s">
        <v>301</v>
      </c>
      <c r="C47" s="77"/>
      <c r="D47" s="104"/>
      <c r="G47" s="164"/>
      <c r="J47" s="164"/>
      <c r="K47" s="164"/>
      <c r="L47" s="164"/>
    </row>
    <row r="48" spans="1:12" ht="15">
      <c r="A48" s="77" t="s">
        <v>293</v>
      </c>
      <c r="B48" s="77" t="s">
        <v>237</v>
      </c>
      <c r="C48" s="77" t="s">
        <v>306</v>
      </c>
      <c r="D48" s="104" t="s">
        <v>291</v>
      </c>
      <c r="G48" s="96">
        <f t="shared" si="1"/>
        <v>0</v>
      </c>
      <c r="J48" s="96">
        <f t="shared" si="2"/>
        <v>0</v>
      </c>
      <c r="K48" s="96">
        <f t="shared" si="3"/>
        <v>0</v>
      </c>
      <c r="L48" s="96">
        <f t="shared" si="4"/>
        <v>0</v>
      </c>
    </row>
    <row r="49" spans="1:12" ht="15">
      <c r="A49" s="77" t="s">
        <v>294</v>
      </c>
      <c r="B49" s="77" t="s">
        <v>237</v>
      </c>
      <c r="C49" s="77" t="s">
        <v>306</v>
      </c>
      <c r="D49" s="104" t="s">
        <v>291</v>
      </c>
      <c r="G49" s="96">
        <f t="shared" si="1"/>
        <v>0</v>
      </c>
      <c r="J49" s="96">
        <f t="shared" si="2"/>
        <v>0</v>
      </c>
      <c r="K49" s="96">
        <f t="shared" si="3"/>
        <v>0</v>
      </c>
      <c r="L49" s="96">
        <f t="shared" si="4"/>
        <v>0</v>
      </c>
    </row>
    <row r="50" spans="1:12" ht="15">
      <c r="A50" s="77" t="s">
        <v>296</v>
      </c>
      <c r="B50" s="77" t="s">
        <v>242</v>
      </c>
      <c r="C50" s="77" t="s">
        <v>314</v>
      </c>
      <c r="D50" s="104" t="s">
        <v>285</v>
      </c>
      <c r="G50" s="96">
        <f t="shared" si="1"/>
        <v>0</v>
      </c>
      <c r="J50" s="96">
        <f t="shared" si="2"/>
        <v>0</v>
      </c>
      <c r="K50" s="96">
        <f t="shared" si="3"/>
        <v>0</v>
      </c>
      <c r="L50" s="96">
        <f t="shared" si="4"/>
        <v>0</v>
      </c>
    </row>
    <row r="51" spans="1:12" ht="15">
      <c r="A51" s="77" t="s">
        <v>297</v>
      </c>
      <c r="B51" s="77" t="s">
        <v>298</v>
      </c>
      <c r="C51" s="77" t="s">
        <v>307</v>
      </c>
      <c r="D51" s="104" t="s">
        <v>283</v>
      </c>
      <c r="G51" s="96">
        <f t="shared" si="1"/>
        <v>0</v>
      </c>
      <c r="J51" s="96">
        <f t="shared" si="2"/>
        <v>0</v>
      </c>
      <c r="K51" s="96">
        <f t="shared" si="3"/>
        <v>0</v>
      </c>
      <c r="L51" s="96">
        <f t="shared" si="4"/>
        <v>0</v>
      </c>
    </row>
    <row r="52" spans="1:12" ht="15">
      <c r="A52" s="77" t="s">
        <v>299</v>
      </c>
      <c r="B52" s="77" t="s">
        <v>240</v>
      </c>
      <c r="C52" s="77" t="s">
        <v>306</v>
      </c>
      <c r="D52" s="104" t="s">
        <v>295</v>
      </c>
      <c r="G52" s="96">
        <f t="shared" si="1"/>
        <v>0</v>
      </c>
      <c r="J52" s="96">
        <f t="shared" si="2"/>
        <v>0</v>
      </c>
      <c r="K52" s="96">
        <f t="shared" si="3"/>
        <v>0</v>
      </c>
      <c r="L52" s="96">
        <f t="shared" si="4"/>
        <v>0</v>
      </c>
    </row>
    <row r="53" spans="1:12" ht="15">
      <c r="A53" s="77" t="s">
        <v>303</v>
      </c>
      <c r="B53" s="77" t="s">
        <v>246</v>
      </c>
      <c r="C53" s="77" t="s">
        <v>308</v>
      </c>
      <c r="D53" s="104" t="s">
        <v>292</v>
      </c>
      <c r="G53" s="96">
        <f t="shared" si="1"/>
        <v>0</v>
      </c>
      <c r="J53" s="96">
        <f t="shared" si="2"/>
        <v>0</v>
      </c>
      <c r="K53" s="96">
        <f t="shared" si="3"/>
        <v>0</v>
      </c>
      <c r="L53" s="96">
        <f t="shared" si="4"/>
        <v>0</v>
      </c>
    </row>
    <row r="54" spans="1:12" ht="15">
      <c r="A54" s="77" t="s">
        <v>302</v>
      </c>
      <c r="B54" s="77" t="s">
        <v>246</v>
      </c>
      <c r="C54" s="77" t="s">
        <v>308</v>
      </c>
      <c r="D54" s="104" t="s">
        <v>292</v>
      </c>
      <c r="G54" s="96">
        <f t="shared" si="1"/>
        <v>0</v>
      </c>
      <c r="J54" s="96">
        <f t="shared" si="2"/>
        <v>0</v>
      </c>
      <c r="K54" s="96">
        <f t="shared" si="3"/>
        <v>0</v>
      </c>
      <c r="L54" s="96">
        <f t="shared" si="4"/>
        <v>0</v>
      </c>
    </row>
    <row r="55" spans="1:12" ht="15">
      <c r="A55" s="77" t="s">
        <v>304</v>
      </c>
      <c r="B55" s="77" t="s">
        <v>245</v>
      </c>
      <c r="C55" s="77" t="s">
        <v>309</v>
      </c>
      <c r="D55" s="104" t="s">
        <v>329</v>
      </c>
      <c r="G55" s="96">
        <f t="shared" si="1"/>
        <v>0</v>
      </c>
      <c r="J55" s="96">
        <f t="shared" si="2"/>
        <v>0</v>
      </c>
      <c r="K55" s="96">
        <f t="shared" si="3"/>
        <v>0</v>
      </c>
      <c r="L55" s="96">
        <f t="shared" si="4"/>
        <v>0</v>
      </c>
    </row>
    <row r="56" spans="1:12" ht="15">
      <c r="A56" s="77" t="s">
        <v>310</v>
      </c>
      <c r="B56" s="77" t="s">
        <v>311</v>
      </c>
      <c r="C56" s="77" t="s">
        <v>313</v>
      </c>
      <c r="D56" s="104" t="s">
        <v>312</v>
      </c>
      <c r="G56" s="96">
        <f t="shared" si="1"/>
        <v>0</v>
      </c>
      <c r="J56" s="96">
        <f t="shared" si="2"/>
        <v>0</v>
      </c>
      <c r="K56" s="96">
        <f t="shared" si="3"/>
        <v>0</v>
      </c>
      <c r="L56" s="96">
        <f t="shared" si="4"/>
        <v>0</v>
      </c>
    </row>
    <row r="57" spans="1:12" ht="15">
      <c r="A57" s="77" t="s">
        <v>236</v>
      </c>
      <c r="B57" s="77" t="s">
        <v>244</v>
      </c>
      <c r="C57" s="77" t="s">
        <v>315</v>
      </c>
      <c r="D57" s="104" t="s">
        <v>283</v>
      </c>
      <c r="G57" s="96">
        <f t="shared" si="1"/>
        <v>0</v>
      </c>
      <c r="J57" s="96">
        <f t="shared" si="2"/>
        <v>0</v>
      </c>
      <c r="K57" s="96">
        <f t="shared" si="3"/>
        <v>0</v>
      </c>
      <c r="L57" s="96">
        <f t="shared" si="4"/>
        <v>0</v>
      </c>
    </row>
    <row r="58" spans="1:12" ht="15">
      <c r="A58" s="105" t="s">
        <v>316</v>
      </c>
      <c r="B58" s="77" t="s">
        <v>317</v>
      </c>
      <c r="C58" s="77" t="s">
        <v>319</v>
      </c>
      <c r="D58" s="104" t="s">
        <v>318</v>
      </c>
      <c r="G58" s="96">
        <f t="shared" si="1"/>
        <v>0</v>
      </c>
      <c r="J58" s="96">
        <f t="shared" si="2"/>
        <v>0</v>
      </c>
      <c r="K58" s="96">
        <f t="shared" si="3"/>
        <v>0</v>
      </c>
      <c r="L58" s="96">
        <f t="shared" si="4"/>
        <v>0</v>
      </c>
    </row>
    <row r="59" spans="1:12" ht="15">
      <c r="A59" s="105" t="s">
        <v>320</v>
      </c>
      <c r="B59" s="77" t="s">
        <v>321</v>
      </c>
      <c r="C59" s="77" t="s">
        <v>322</v>
      </c>
      <c r="D59" s="104" t="s">
        <v>318</v>
      </c>
      <c r="G59" s="96">
        <f t="shared" si="1"/>
        <v>0</v>
      </c>
      <c r="J59" s="96">
        <f t="shared" si="2"/>
        <v>0</v>
      </c>
      <c r="K59" s="96">
        <f t="shared" si="3"/>
        <v>0</v>
      </c>
      <c r="L59" s="96">
        <f t="shared" si="4"/>
        <v>0</v>
      </c>
    </row>
    <row r="60" spans="1:12" ht="15">
      <c r="A60" s="77" t="s">
        <v>300</v>
      </c>
      <c r="B60" s="77" t="s">
        <v>240</v>
      </c>
      <c r="C60" s="77" t="s">
        <v>306</v>
      </c>
      <c r="D60" s="104" t="s">
        <v>291</v>
      </c>
      <c r="G60" s="96">
        <f t="shared" si="1"/>
        <v>0</v>
      </c>
      <c r="J60" s="96">
        <f t="shared" si="2"/>
        <v>0</v>
      </c>
      <c r="K60" s="96">
        <f t="shared" si="3"/>
        <v>0</v>
      </c>
      <c r="L60" s="96">
        <f t="shared" si="4"/>
        <v>0</v>
      </c>
    </row>
    <row r="61" spans="1:12" ht="15">
      <c r="A61" s="77" t="s">
        <v>324</v>
      </c>
      <c r="B61" s="77" t="s">
        <v>240</v>
      </c>
      <c r="C61" s="77" t="s">
        <v>306</v>
      </c>
      <c r="D61" s="104" t="s">
        <v>291</v>
      </c>
      <c r="G61" s="96">
        <f t="shared" si="1"/>
        <v>0</v>
      </c>
      <c r="J61" s="96">
        <f t="shared" si="2"/>
        <v>0</v>
      </c>
      <c r="K61" s="96">
        <f t="shared" si="3"/>
        <v>0</v>
      </c>
      <c r="L61" s="96">
        <f t="shared" si="4"/>
        <v>0</v>
      </c>
    </row>
    <row r="62" spans="1:12" ht="15">
      <c r="A62" s="77" t="s">
        <v>323</v>
      </c>
      <c r="B62" s="77" t="s">
        <v>240</v>
      </c>
      <c r="C62" s="77" t="s">
        <v>306</v>
      </c>
      <c r="D62" s="104" t="s">
        <v>291</v>
      </c>
      <c r="G62" s="96">
        <f t="shared" si="1"/>
        <v>0</v>
      </c>
      <c r="J62" s="96">
        <f t="shared" si="2"/>
        <v>0</v>
      </c>
      <c r="K62" s="96">
        <f t="shared" si="3"/>
        <v>0</v>
      </c>
      <c r="L62" s="96">
        <f t="shared" si="4"/>
        <v>0</v>
      </c>
    </row>
    <row r="63" spans="1:12" ht="15">
      <c r="A63" s="77" t="s">
        <v>325</v>
      </c>
      <c r="B63" s="77" t="s">
        <v>248</v>
      </c>
      <c r="C63" s="77" t="s">
        <v>326</v>
      </c>
      <c r="D63" s="104" t="s">
        <v>292</v>
      </c>
      <c r="G63" s="96">
        <f t="shared" si="1"/>
        <v>0</v>
      </c>
      <c r="J63" s="96">
        <f t="shared" si="2"/>
        <v>0</v>
      </c>
      <c r="K63" s="96">
        <f t="shared" si="3"/>
        <v>0</v>
      </c>
      <c r="L63" s="96">
        <f t="shared" si="4"/>
        <v>0</v>
      </c>
    </row>
    <row r="64" spans="1:12" ht="15">
      <c r="A64" s="105" t="s">
        <v>327</v>
      </c>
      <c r="B64" s="77" t="s">
        <v>328</v>
      </c>
      <c r="C64" s="77" t="s">
        <v>309</v>
      </c>
      <c r="D64" s="104" t="s">
        <v>329</v>
      </c>
      <c r="G64" s="96">
        <f t="shared" si="1"/>
        <v>0</v>
      </c>
      <c r="J64" s="96">
        <f t="shared" si="2"/>
        <v>0</v>
      </c>
      <c r="K64" s="96">
        <f t="shared" si="3"/>
        <v>0</v>
      </c>
      <c r="L64" s="96">
        <f t="shared" si="4"/>
        <v>0</v>
      </c>
    </row>
    <row r="65" spans="1:12" ht="15">
      <c r="A65" s="77" t="s">
        <v>332</v>
      </c>
      <c r="B65" s="77" t="s">
        <v>237</v>
      </c>
      <c r="C65" s="77" t="s">
        <v>306</v>
      </c>
      <c r="D65" s="104" t="s">
        <v>291</v>
      </c>
      <c r="G65" s="96">
        <f t="shared" si="1"/>
        <v>0</v>
      </c>
      <c r="J65" s="96">
        <f t="shared" si="2"/>
        <v>0</v>
      </c>
      <c r="K65" s="96">
        <f t="shared" si="3"/>
        <v>0</v>
      </c>
      <c r="L65" s="96">
        <f t="shared" si="4"/>
        <v>0</v>
      </c>
    </row>
    <row r="66" spans="1:12" ht="15">
      <c r="A66" s="77" t="s">
        <v>333</v>
      </c>
      <c r="B66" s="77" t="s">
        <v>334</v>
      </c>
      <c r="C66" s="77" t="s">
        <v>335</v>
      </c>
      <c r="D66" s="104" t="s">
        <v>285</v>
      </c>
      <c r="G66" s="96">
        <f t="shared" si="1"/>
        <v>0</v>
      </c>
      <c r="J66" s="96">
        <f t="shared" si="2"/>
        <v>0</v>
      </c>
      <c r="K66" s="96">
        <f t="shared" si="3"/>
        <v>0</v>
      </c>
      <c r="L66" s="96">
        <f t="shared" si="4"/>
        <v>0</v>
      </c>
    </row>
    <row r="67" spans="1:12" ht="15">
      <c r="A67" s="77" t="s">
        <v>336</v>
      </c>
      <c r="B67" s="77" t="s">
        <v>337</v>
      </c>
      <c r="C67" s="77" t="s">
        <v>319</v>
      </c>
      <c r="D67" s="104" t="s">
        <v>318</v>
      </c>
      <c r="G67" s="96">
        <f t="shared" si="1"/>
        <v>0</v>
      </c>
      <c r="J67" s="96">
        <f t="shared" si="2"/>
        <v>0</v>
      </c>
      <c r="K67" s="96">
        <f t="shared" si="3"/>
        <v>0</v>
      </c>
      <c r="L67" s="96">
        <f t="shared" si="4"/>
        <v>0</v>
      </c>
    </row>
    <row r="68" spans="1:12" ht="15">
      <c r="A68" s="77" t="s">
        <v>338</v>
      </c>
      <c r="B68" s="77" t="s">
        <v>247</v>
      </c>
      <c r="C68" s="77" t="s">
        <v>339</v>
      </c>
      <c r="D68" s="104" t="s">
        <v>285</v>
      </c>
      <c r="G68" s="96">
        <f t="shared" si="1"/>
        <v>0</v>
      </c>
      <c r="J68" s="96">
        <f t="shared" si="2"/>
        <v>0</v>
      </c>
      <c r="K68" s="96">
        <f t="shared" si="3"/>
        <v>0</v>
      </c>
      <c r="L68" s="96">
        <f t="shared" si="4"/>
        <v>0</v>
      </c>
    </row>
    <row r="69" spans="1:12" ht="15">
      <c r="A69" s="77" t="s">
        <v>340</v>
      </c>
      <c r="B69" s="77" t="s">
        <v>247</v>
      </c>
      <c r="C69" s="77" t="s">
        <v>339</v>
      </c>
      <c r="D69" s="104" t="s">
        <v>285</v>
      </c>
      <c r="G69" s="96">
        <f t="shared" si="1"/>
        <v>0</v>
      </c>
      <c r="J69" s="96">
        <f t="shared" si="2"/>
        <v>0</v>
      </c>
      <c r="K69" s="96">
        <f t="shared" si="3"/>
        <v>0</v>
      </c>
      <c r="L69" s="96">
        <f t="shared" si="4"/>
        <v>0</v>
      </c>
    </row>
    <row r="70" spans="1:12" ht="15">
      <c r="A70" s="77" t="s">
        <v>341</v>
      </c>
      <c r="B70" s="77" t="s">
        <v>342</v>
      </c>
      <c r="C70" s="77" t="s">
        <v>322</v>
      </c>
      <c r="D70" s="104" t="s">
        <v>318</v>
      </c>
      <c r="G70" s="96">
        <f t="shared" si="1"/>
        <v>0</v>
      </c>
      <c r="J70" s="96">
        <f t="shared" si="2"/>
        <v>0</v>
      </c>
      <c r="K70" s="96">
        <f t="shared" si="3"/>
        <v>0</v>
      </c>
      <c r="L70" s="96">
        <f t="shared" si="4"/>
        <v>0</v>
      </c>
    </row>
    <row r="71" spans="1:12" ht="15">
      <c r="A71" s="77" t="s">
        <v>343</v>
      </c>
      <c r="B71" s="77" t="s">
        <v>344</v>
      </c>
      <c r="C71" s="77" t="s">
        <v>345</v>
      </c>
      <c r="D71" s="104" t="s">
        <v>346</v>
      </c>
      <c r="G71" s="96">
        <f t="shared" si="1"/>
        <v>0</v>
      </c>
      <c r="J71" s="96">
        <f t="shared" si="2"/>
        <v>0</v>
      </c>
      <c r="K71" s="96">
        <f t="shared" si="3"/>
        <v>0</v>
      </c>
      <c r="L71" s="96">
        <f t="shared" si="4"/>
        <v>0</v>
      </c>
    </row>
    <row r="72" spans="1:12" ht="15">
      <c r="A72" s="77" t="s">
        <v>347</v>
      </c>
      <c r="B72" s="77" t="s">
        <v>348</v>
      </c>
      <c r="C72" s="77" t="s">
        <v>330</v>
      </c>
      <c r="D72" s="104" t="s">
        <v>331</v>
      </c>
      <c r="G72" s="96">
        <f t="shared" si="1"/>
        <v>0</v>
      </c>
      <c r="J72" s="96">
        <f t="shared" si="2"/>
        <v>0</v>
      </c>
      <c r="K72" s="96">
        <f t="shared" si="3"/>
        <v>0</v>
      </c>
      <c r="L72" s="96">
        <f t="shared" si="4"/>
        <v>0</v>
      </c>
    </row>
    <row r="73" spans="1:12" ht="15">
      <c r="A73" s="77" t="s">
        <v>349</v>
      </c>
      <c r="B73" s="77" t="s">
        <v>348</v>
      </c>
      <c r="C73" s="77" t="s">
        <v>330</v>
      </c>
      <c r="D73" s="104" t="s">
        <v>331</v>
      </c>
      <c r="G73" s="96">
        <f t="shared" si="1"/>
        <v>0</v>
      </c>
      <c r="J73" s="96">
        <f t="shared" si="2"/>
        <v>0</v>
      </c>
      <c r="K73" s="96">
        <f t="shared" si="3"/>
        <v>0</v>
      </c>
      <c r="L73" s="96">
        <f t="shared" si="4"/>
        <v>0</v>
      </c>
    </row>
    <row r="74" spans="1:12" ht="15">
      <c r="A74" s="77" t="s">
        <v>350</v>
      </c>
      <c r="B74" s="77" t="s">
        <v>351</v>
      </c>
      <c r="C74" s="77" t="s">
        <v>352</v>
      </c>
      <c r="D74" s="104" t="s">
        <v>346</v>
      </c>
      <c r="G74" s="96">
        <f t="shared" si="1"/>
        <v>0</v>
      </c>
      <c r="J74" s="96">
        <f t="shared" si="2"/>
        <v>0</v>
      </c>
      <c r="K74" s="96">
        <f t="shared" si="3"/>
        <v>0</v>
      </c>
      <c r="L74" s="96">
        <f t="shared" si="4"/>
        <v>0</v>
      </c>
    </row>
    <row r="75" spans="1:12" ht="15">
      <c r="A75" s="77" t="s">
        <v>353</v>
      </c>
      <c r="B75" s="77" t="s">
        <v>242</v>
      </c>
      <c r="C75" s="77" t="s">
        <v>314</v>
      </c>
      <c r="D75" s="104" t="s">
        <v>285</v>
      </c>
      <c r="G75" s="96">
        <f t="shared" si="1"/>
        <v>0</v>
      </c>
      <c r="J75" s="96">
        <f t="shared" si="2"/>
        <v>0</v>
      </c>
      <c r="K75" s="96">
        <f t="shared" si="3"/>
        <v>0</v>
      </c>
      <c r="L75" s="96">
        <f t="shared" si="4"/>
        <v>0</v>
      </c>
    </row>
    <row r="76" spans="1:12" ht="15">
      <c r="A76" s="77" t="s">
        <v>354</v>
      </c>
      <c r="B76" s="77" t="s">
        <v>241</v>
      </c>
      <c r="C76" s="77" t="s">
        <v>306</v>
      </c>
      <c r="D76" s="104" t="s">
        <v>291</v>
      </c>
      <c r="G76" s="96">
        <f t="shared" si="1"/>
        <v>0</v>
      </c>
      <c r="J76" s="96">
        <f t="shared" si="2"/>
        <v>0</v>
      </c>
      <c r="K76" s="96">
        <f t="shared" si="3"/>
        <v>0</v>
      </c>
      <c r="L76" s="96">
        <f t="shared" si="4"/>
        <v>0</v>
      </c>
    </row>
    <row r="77" spans="1:12" ht="15">
      <c r="A77" s="77" t="s">
        <v>355</v>
      </c>
      <c r="B77" s="77" t="s">
        <v>241</v>
      </c>
      <c r="C77" s="77" t="s">
        <v>306</v>
      </c>
      <c r="D77" s="104" t="s">
        <v>291</v>
      </c>
      <c r="G77" s="96">
        <f t="shared" si="1"/>
        <v>0</v>
      </c>
      <c r="J77" s="96">
        <f t="shared" si="2"/>
        <v>0</v>
      </c>
      <c r="K77" s="96">
        <f t="shared" si="3"/>
        <v>0</v>
      </c>
      <c r="L77" s="96">
        <f t="shared" si="4"/>
        <v>0</v>
      </c>
    </row>
    <row r="78" spans="1:12" ht="15">
      <c r="A78" s="77" t="s">
        <v>356</v>
      </c>
      <c r="B78" s="77" t="s">
        <v>239</v>
      </c>
      <c r="C78" s="77" t="s">
        <v>315</v>
      </c>
      <c r="D78" s="104" t="s">
        <v>292</v>
      </c>
      <c r="G78" s="96">
        <f t="shared" si="1"/>
        <v>0</v>
      </c>
      <c r="J78" s="96">
        <f t="shared" si="2"/>
        <v>0</v>
      </c>
      <c r="K78" s="96">
        <f t="shared" si="3"/>
        <v>0</v>
      </c>
      <c r="L78" s="96">
        <f t="shared" si="4"/>
        <v>0</v>
      </c>
    </row>
    <row r="79" spans="1:12" ht="15">
      <c r="A79" s="77" t="s">
        <v>357</v>
      </c>
      <c r="B79" s="77" t="s">
        <v>238</v>
      </c>
      <c r="C79" s="77" t="s">
        <v>306</v>
      </c>
      <c r="D79" s="104" t="s">
        <v>291</v>
      </c>
      <c r="G79" s="96">
        <f t="shared" si="1"/>
        <v>0</v>
      </c>
      <c r="J79" s="96">
        <f t="shared" si="2"/>
        <v>0</v>
      </c>
      <c r="K79" s="96">
        <f t="shared" si="3"/>
        <v>0</v>
      </c>
      <c r="L79" s="96">
        <f t="shared" si="4"/>
        <v>0</v>
      </c>
    </row>
    <row r="80" spans="1:12" ht="15">
      <c r="A80" s="77" t="s">
        <v>358</v>
      </c>
      <c r="B80" s="77" t="s">
        <v>359</v>
      </c>
      <c r="C80" s="77" t="s">
        <v>360</v>
      </c>
      <c r="D80" s="104" t="s">
        <v>361</v>
      </c>
      <c r="G80" s="96">
        <f t="shared" si="1"/>
        <v>0</v>
      </c>
      <c r="J80" s="96">
        <f t="shared" si="2"/>
        <v>0</v>
      </c>
      <c r="K80" s="96">
        <f t="shared" si="3"/>
        <v>0</v>
      </c>
      <c r="L80" s="96">
        <f t="shared" si="4"/>
        <v>0</v>
      </c>
    </row>
    <row r="81" spans="1:12" ht="15">
      <c r="A81" s="77" t="s">
        <v>362</v>
      </c>
      <c r="B81" s="77" t="s">
        <v>363</v>
      </c>
      <c r="C81" s="77" t="s">
        <v>306</v>
      </c>
      <c r="D81" s="104" t="s">
        <v>291</v>
      </c>
      <c r="G81" s="96">
        <f t="shared" si="1"/>
        <v>0</v>
      </c>
      <c r="J81" s="96">
        <f t="shared" si="2"/>
        <v>0</v>
      </c>
      <c r="K81" s="96">
        <f t="shared" si="3"/>
        <v>0</v>
      </c>
      <c r="L81" s="96">
        <f t="shared" si="4"/>
        <v>0</v>
      </c>
    </row>
    <row r="82" spans="1:12" ht="15">
      <c r="A82" s="83" t="s">
        <v>402</v>
      </c>
      <c r="G82" s="96">
        <f t="shared" si="1"/>
        <v>0</v>
      </c>
      <c r="J82" s="96">
        <f t="shared" si="2"/>
        <v>0</v>
      </c>
      <c r="K82" s="96">
        <f t="shared" si="3"/>
        <v>0</v>
      </c>
      <c r="L82" s="96">
        <f t="shared" si="4"/>
        <v>0</v>
      </c>
    </row>
    <row r="83" spans="1:12" ht="15">
      <c r="A83" s="99"/>
      <c r="G83" s="96">
        <f t="shared" si="1"/>
        <v>0</v>
      </c>
      <c r="J83" s="96">
        <f t="shared" si="2"/>
        <v>0</v>
      </c>
      <c r="K83" s="96">
        <f t="shared" si="3"/>
        <v>0</v>
      </c>
      <c r="L83" s="96">
        <f t="shared" si="4"/>
        <v>0</v>
      </c>
    </row>
    <row r="84" spans="7:12" ht="15">
      <c r="G84" s="96">
        <f t="shared" si="1"/>
        <v>0</v>
      </c>
      <c r="J84" s="96">
        <f t="shared" si="2"/>
        <v>0</v>
      </c>
      <c r="K84" s="96">
        <f t="shared" si="3"/>
        <v>0</v>
      </c>
      <c r="L84" s="96">
        <f t="shared" si="4"/>
        <v>0</v>
      </c>
    </row>
    <row r="85" spans="7:12" ht="15">
      <c r="G85" s="96">
        <f t="shared" si="1"/>
        <v>0</v>
      </c>
      <c r="J85" s="96">
        <f t="shared" si="2"/>
        <v>0</v>
      </c>
      <c r="K85" s="96">
        <f t="shared" si="3"/>
        <v>0</v>
      </c>
      <c r="L85" s="96">
        <f t="shared" si="4"/>
        <v>0</v>
      </c>
    </row>
    <row r="86" spans="7:12" s="169" customFormat="1" ht="15">
      <c r="G86" s="178">
        <f t="shared" si="1"/>
        <v>0</v>
      </c>
      <c r="J86" s="178">
        <f>G86*H86*I86</f>
        <v>0</v>
      </c>
      <c r="K86" s="178">
        <f>J86*$B$1</f>
        <v>0</v>
      </c>
      <c r="L86" s="178">
        <f>K86/$B$3</f>
        <v>0</v>
      </c>
    </row>
    <row r="87" spans="1:12" ht="15">
      <c r="A87" s="161" t="s">
        <v>382</v>
      </c>
      <c r="D87" s="92"/>
      <c r="J87" s="96">
        <f>SUM(J26:J86)</f>
        <v>0</v>
      </c>
      <c r="K87" s="96">
        <f>SUM(K26:K86)</f>
        <v>0</v>
      </c>
      <c r="L87" s="96">
        <f>SUM(L26:L86)</f>
        <v>0</v>
      </c>
    </row>
    <row r="88" spans="1:12" ht="15">
      <c r="A88" s="161"/>
      <c r="D88" s="92"/>
      <c r="J88" s="96"/>
      <c r="K88" s="96"/>
      <c r="L88" s="96"/>
    </row>
    <row r="89" spans="1:2" ht="15">
      <c r="A89" s="77"/>
      <c r="B89" s="103"/>
    </row>
    <row r="90" spans="1:3" ht="15">
      <c r="A90" s="243" t="s">
        <v>538</v>
      </c>
      <c r="B90" s="243"/>
      <c r="C90" s="243"/>
    </row>
    <row r="91" spans="1:2" ht="15">
      <c r="A91" s="101" t="s">
        <v>539</v>
      </c>
      <c r="B91" s="198"/>
    </row>
    <row r="92" spans="1:2" ht="15">
      <c r="A92" s="191" t="s">
        <v>115</v>
      </c>
      <c r="B92" s="167"/>
    </row>
    <row r="93" spans="1:4" ht="15">
      <c r="A93" s="77" t="s">
        <v>88</v>
      </c>
      <c r="D93" s="93"/>
    </row>
    <row r="94" ht="15">
      <c r="A94" s="165" t="s">
        <v>89</v>
      </c>
    </row>
    <row r="95" ht="15">
      <c r="A95" s="77" t="s">
        <v>93</v>
      </c>
    </row>
    <row r="96" ht="15">
      <c r="A96" s="165" t="s">
        <v>94</v>
      </c>
    </row>
    <row r="97" ht="15">
      <c r="A97" s="77" t="s">
        <v>96</v>
      </c>
    </row>
    <row r="98" ht="15">
      <c r="A98" s="165" t="s">
        <v>118</v>
      </c>
    </row>
    <row r="99" ht="15">
      <c r="A99" s="77" t="s">
        <v>119</v>
      </c>
    </row>
    <row r="100" ht="15">
      <c r="A100" s="165" t="s">
        <v>114</v>
      </c>
    </row>
    <row r="101" ht="15">
      <c r="A101" s="77" t="s">
        <v>98</v>
      </c>
    </row>
    <row r="102" ht="15">
      <c r="A102" s="165" t="s">
        <v>386</v>
      </c>
    </row>
    <row r="103" spans="1:2" ht="15">
      <c r="A103" s="183" t="s">
        <v>116</v>
      </c>
      <c r="B103" s="169"/>
    </row>
    <row r="104" spans="1:2" ht="15">
      <c r="A104" s="161" t="s">
        <v>388</v>
      </c>
      <c r="B104" s="100">
        <f>SUM(B92:B103)</f>
        <v>0</v>
      </c>
    </row>
    <row r="106" spans="1:2" ht="15">
      <c r="A106" s="193" t="s">
        <v>380</v>
      </c>
      <c r="B106" s="181" t="s">
        <v>387</v>
      </c>
    </row>
    <row r="107" ht="15">
      <c r="A107" s="77" t="s">
        <v>14</v>
      </c>
    </row>
    <row r="108" ht="15">
      <c r="A108" s="77" t="s">
        <v>15</v>
      </c>
    </row>
    <row r="109" ht="15">
      <c r="A109" s="77" t="s">
        <v>15</v>
      </c>
    </row>
    <row r="110" ht="15">
      <c r="A110" s="77" t="s">
        <v>2</v>
      </c>
    </row>
    <row r="111" spans="1:2" ht="15">
      <c r="A111" s="183" t="s">
        <v>4</v>
      </c>
      <c r="B111" s="169"/>
    </row>
    <row r="112" spans="1:2" ht="15">
      <c r="A112" s="101" t="s">
        <v>381</v>
      </c>
      <c r="B112" s="100">
        <f>SUM(B107:B111)</f>
        <v>0</v>
      </c>
    </row>
  </sheetData>
  <sheetProtection password="96BD" sheet="1"/>
  <mergeCells count="4">
    <mergeCell ref="E1:K1"/>
    <mergeCell ref="E2:K2"/>
    <mergeCell ref="E12:G12"/>
    <mergeCell ref="A90:C90"/>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2:A17"/>
  <sheetViews>
    <sheetView zoomScalePageLayoutView="0" workbookViewId="0" topLeftCell="A1">
      <selection activeCell="C15" sqref="C15"/>
    </sheetView>
  </sheetViews>
  <sheetFormatPr defaultColWidth="9.140625" defaultRowHeight="15"/>
  <cols>
    <col min="1" max="1" width="100.7109375" style="0" customWidth="1"/>
  </cols>
  <sheetData>
    <row r="2" ht="19.5" customHeight="1">
      <c r="A2" s="59" t="s">
        <v>134</v>
      </c>
    </row>
    <row r="3" ht="69.75" customHeight="1">
      <c r="A3" s="66" t="s">
        <v>145</v>
      </c>
    </row>
    <row r="4" ht="12" customHeight="1">
      <c r="A4" s="58"/>
    </row>
    <row r="5" ht="49.5" customHeight="1">
      <c r="A5" s="67" t="s">
        <v>509</v>
      </c>
    </row>
    <row r="6" ht="12" customHeight="1">
      <c r="A6" s="57"/>
    </row>
    <row r="7" ht="64.5" customHeight="1">
      <c r="A7" s="67" t="s">
        <v>146</v>
      </c>
    </row>
    <row r="8" ht="12" customHeight="1">
      <c r="A8" s="57" t="s">
        <v>20</v>
      </c>
    </row>
    <row r="9" ht="75" customHeight="1">
      <c r="A9" s="67" t="s">
        <v>510</v>
      </c>
    </row>
    <row r="10" ht="12" customHeight="1">
      <c r="A10" s="57" t="s">
        <v>20</v>
      </c>
    </row>
    <row r="11" ht="60" customHeight="1">
      <c r="A11" s="67" t="s">
        <v>135</v>
      </c>
    </row>
    <row r="12" ht="12" customHeight="1">
      <c r="A12" s="57" t="s">
        <v>20</v>
      </c>
    </row>
    <row r="13" ht="60" customHeight="1">
      <c r="A13" s="67" t="s">
        <v>512</v>
      </c>
    </row>
    <row r="14" ht="15" customHeight="1"/>
    <row r="15" ht="38.25">
      <c r="A15" s="162" t="s">
        <v>511</v>
      </c>
    </row>
    <row r="16" ht="15">
      <c r="A16" s="162"/>
    </row>
    <row r="17" ht="15">
      <c r="A17" s="67"/>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1:I281"/>
  <sheetViews>
    <sheetView zoomScalePageLayoutView="0" workbookViewId="0" topLeftCell="A19">
      <selection activeCell="A281" sqref="A281"/>
    </sheetView>
  </sheetViews>
  <sheetFormatPr defaultColWidth="9.140625" defaultRowHeight="15"/>
  <cols>
    <col min="1" max="1" width="6.28125" style="75" customWidth="1"/>
    <col min="2" max="2" width="9.140625" style="75" customWidth="1"/>
    <col min="3" max="3" width="13.7109375" style="74" customWidth="1"/>
    <col min="4" max="8" width="12.7109375" style="74" customWidth="1"/>
    <col min="9" max="9" width="11.140625" style="74" bestFit="1" customWidth="1"/>
    <col min="10" max="10" width="16.7109375" style="74" bestFit="1" customWidth="1"/>
    <col min="11" max="16384" width="9.140625" style="74" customWidth="1"/>
  </cols>
  <sheetData>
    <row r="1" spans="3:8" ht="15">
      <c r="C1" s="225" t="s">
        <v>125</v>
      </c>
      <c r="D1" s="225"/>
      <c r="E1" s="225"/>
      <c r="F1" s="225"/>
      <c r="G1" s="225"/>
      <c r="H1" s="225"/>
    </row>
    <row r="2" spans="3:8" ht="15">
      <c r="C2" s="226" t="s">
        <v>124</v>
      </c>
      <c r="D2" s="226"/>
      <c r="E2" s="226"/>
      <c r="F2" s="226"/>
      <c r="G2" s="226"/>
      <c r="H2" s="226"/>
    </row>
    <row r="4" spans="1:6" ht="15.75" thickBot="1">
      <c r="A4" s="113"/>
      <c r="B4" s="113"/>
      <c r="F4" s="74" t="s">
        <v>20</v>
      </c>
    </row>
    <row r="5" spans="3:8" ht="15">
      <c r="C5" s="230" t="s">
        <v>86</v>
      </c>
      <c r="D5" s="230"/>
      <c r="E5" s="49" t="s">
        <v>37</v>
      </c>
      <c r="F5" s="49" t="s">
        <v>38</v>
      </c>
      <c r="G5" s="49" t="s">
        <v>39</v>
      </c>
      <c r="H5" s="49" t="s">
        <v>40</v>
      </c>
    </row>
    <row r="6" spans="1:8" ht="15.75" thickBot="1">
      <c r="A6" s="82" t="s">
        <v>9</v>
      </c>
      <c r="B6" s="82" t="s">
        <v>545</v>
      </c>
      <c r="C6" s="50" t="s">
        <v>85</v>
      </c>
      <c r="D6" s="50"/>
      <c r="E6" s="51" t="s">
        <v>41</v>
      </c>
      <c r="F6" s="51" t="s">
        <v>41</v>
      </c>
      <c r="G6" s="51" t="s">
        <v>41</v>
      </c>
      <c r="H6" s="51" t="s">
        <v>83</v>
      </c>
    </row>
    <row r="8" spans="1:4" s="207" customFormat="1" ht="15">
      <c r="A8" s="232" t="s">
        <v>13</v>
      </c>
      <c r="B8" s="232"/>
      <c r="C8" s="231"/>
      <c r="D8" s="231"/>
    </row>
    <row r="9" spans="1:4" s="207" customFormat="1" ht="15">
      <c r="A9" s="199"/>
      <c r="B9" s="200" t="s">
        <v>84</v>
      </c>
      <c r="C9" s="208"/>
      <c r="D9" s="208"/>
    </row>
    <row r="10" spans="1:8" s="207" customFormat="1" ht="15">
      <c r="A10" s="199"/>
      <c r="B10" s="199"/>
      <c r="C10" s="207" t="s">
        <v>42</v>
      </c>
      <c r="E10" s="209">
        <v>452.7797773027201</v>
      </c>
      <c r="F10" s="209">
        <v>0</v>
      </c>
      <c r="G10" s="209">
        <v>263.34000000000003</v>
      </c>
      <c r="H10" s="209">
        <v>716.1197773027202</v>
      </c>
    </row>
    <row r="11" spans="1:8" s="207" customFormat="1" ht="15">
      <c r="A11" s="199"/>
      <c r="B11" s="199"/>
      <c r="C11" s="207" t="s">
        <v>43</v>
      </c>
      <c r="E11" s="209">
        <v>477.31093376000007</v>
      </c>
      <c r="F11" s="209">
        <v>0</v>
      </c>
      <c r="G11" s="209">
        <v>297</v>
      </c>
      <c r="H11" s="209">
        <v>774.3109337600001</v>
      </c>
    </row>
    <row r="12" spans="1:8" s="207" customFormat="1" ht="15">
      <c r="A12" s="199"/>
      <c r="B12" s="199"/>
      <c r="C12" s="207" t="s">
        <v>44</v>
      </c>
      <c r="E12" s="209">
        <v>1111.7075582666669</v>
      </c>
      <c r="F12" s="209">
        <v>6540.000000000001</v>
      </c>
      <c r="G12" s="209">
        <v>198</v>
      </c>
      <c r="H12" s="209">
        <v>7849.707558266668</v>
      </c>
    </row>
    <row r="13" spans="1:8" s="207" customFormat="1" ht="15">
      <c r="A13" s="199"/>
      <c r="B13" s="199"/>
      <c r="C13" s="207" t="s">
        <v>45</v>
      </c>
      <c r="E13" s="209">
        <v>15.210740740740743</v>
      </c>
      <c r="F13" s="209">
        <v>0</v>
      </c>
      <c r="G13" s="209">
        <v>82.5</v>
      </c>
      <c r="H13" s="209">
        <v>97.71074074074075</v>
      </c>
    </row>
    <row r="14" spans="1:8" s="207" customFormat="1" ht="15">
      <c r="A14" s="199"/>
      <c r="B14" s="199"/>
      <c r="C14" s="207" t="s">
        <v>46</v>
      </c>
      <c r="E14" s="209">
        <v>162.76081053333337</v>
      </c>
      <c r="F14" s="209">
        <v>0</v>
      </c>
      <c r="G14" s="209">
        <v>99</v>
      </c>
      <c r="H14" s="209">
        <v>261.76081053333337</v>
      </c>
    </row>
    <row r="15" spans="1:8" s="207" customFormat="1" ht="15">
      <c r="A15" s="199"/>
      <c r="B15" s="199"/>
      <c r="C15" s="207" t="s">
        <v>47</v>
      </c>
      <c r="E15" s="209">
        <v>208.33606096716403</v>
      </c>
      <c r="F15" s="209">
        <v>472</v>
      </c>
      <c r="G15" s="209">
        <v>132.066</v>
      </c>
      <c r="H15" s="209">
        <v>812.4</v>
      </c>
    </row>
    <row r="16" spans="1:8" s="207" customFormat="1" ht="15">
      <c r="A16" s="199"/>
      <c r="B16" s="199"/>
      <c r="C16" s="207" t="s">
        <v>48</v>
      </c>
      <c r="E16" s="209">
        <v>0</v>
      </c>
      <c r="F16" s="209">
        <v>800</v>
      </c>
      <c r="G16" s="209">
        <v>0</v>
      </c>
      <c r="H16" s="209">
        <v>800</v>
      </c>
    </row>
    <row r="17" spans="1:8" s="207" customFormat="1" ht="15">
      <c r="A17" s="199"/>
      <c r="B17" s="199"/>
      <c r="C17" s="207" t="s">
        <v>100</v>
      </c>
      <c r="E17" s="209">
        <v>159.66611114666668</v>
      </c>
      <c r="F17" s="209">
        <v>152</v>
      </c>
      <c r="G17" s="209">
        <v>198</v>
      </c>
      <c r="H17" s="209">
        <v>509.6661111466667</v>
      </c>
    </row>
    <row r="18" spans="1:8" s="207" customFormat="1" ht="15">
      <c r="A18" s="199"/>
      <c r="B18" s="199"/>
      <c r="C18" s="207" t="s">
        <v>49</v>
      </c>
      <c r="E18" s="209">
        <v>231.40286869333337</v>
      </c>
      <c r="F18" s="209">
        <v>0</v>
      </c>
      <c r="G18" s="209">
        <v>99</v>
      </c>
      <c r="H18" s="209">
        <v>330.4028686933334</v>
      </c>
    </row>
    <row r="19" spans="1:8" s="207" customFormat="1" ht="15">
      <c r="A19" s="199"/>
      <c r="B19" s="201" t="s">
        <v>116</v>
      </c>
      <c r="C19" s="210"/>
      <c r="E19" s="209"/>
      <c r="F19" s="209"/>
      <c r="G19" s="209"/>
      <c r="H19" s="209"/>
    </row>
    <row r="20" spans="1:8" s="207" customFormat="1" ht="15">
      <c r="A20" s="199"/>
      <c r="B20" s="199"/>
      <c r="C20" s="207" t="s">
        <v>50</v>
      </c>
      <c r="E20" s="209">
        <v>0</v>
      </c>
      <c r="F20" s="209">
        <v>140000</v>
      </c>
      <c r="G20" s="209">
        <v>4.917</v>
      </c>
      <c r="H20" s="209">
        <v>140004.917</v>
      </c>
    </row>
    <row r="21" spans="1:8" s="207" customFormat="1" ht="15">
      <c r="A21" s="199"/>
      <c r="B21" s="201" t="s">
        <v>90</v>
      </c>
      <c r="C21" s="210"/>
      <c r="E21" s="209"/>
      <c r="F21" s="209"/>
      <c r="G21" s="209"/>
      <c r="H21" s="209"/>
    </row>
    <row r="22" spans="1:8" s="207" customFormat="1" ht="15">
      <c r="A22" s="199"/>
      <c r="B22" s="199"/>
      <c r="C22" s="207" t="s">
        <v>51</v>
      </c>
      <c r="E22" s="209">
        <v>0</v>
      </c>
      <c r="F22" s="209">
        <v>280</v>
      </c>
      <c r="G22" s="209">
        <v>0</v>
      </c>
      <c r="H22" s="209">
        <v>280</v>
      </c>
    </row>
    <row r="23" spans="1:8" s="207" customFormat="1" ht="15">
      <c r="A23" s="199"/>
      <c r="B23" s="199"/>
      <c r="C23" s="207" t="s">
        <v>52</v>
      </c>
      <c r="E23" s="209">
        <v>0</v>
      </c>
      <c r="F23" s="209">
        <v>0</v>
      </c>
      <c r="G23" s="209">
        <v>0</v>
      </c>
      <c r="H23" s="209">
        <v>0</v>
      </c>
    </row>
    <row r="24" spans="1:8" s="207" customFormat="1" ht="15">
      <c r="A24" s="199"/>
      <c r="B24" s="199"/>
      <c r="C24" s="207" t="s">
        <v>53</v>
      </c>
      <c r="E24" s="209">
        <v>0</v>
      </c>
      <c r="F24" s="209">
        <v>0</v>
      </c>
      <c r="G24" s="209">
        <v>0</v>
      </c>
      <c r="H24" s="209">
        <v>0</v>
      </c>
    </row>
    <row r="25" spans="1:8" s="207" customFormat="1" ht="15">
      <c r="A25" s="199"/>
      <c r="B25" s="199"/>
      <c r="C25" s="207" t="s">
        <v>54</v>
      </c>
      <c r="E25" s="209">
        <v>0</v>
      </c>
      <c r="F25" s="209">
        <v>400</v>
      </c>
      <c r="G25" s="209">
        <v>0</v>
      </c>
      <c r="H25" s="209">
        <v>400</v>
      </c>
    </row>
    <row r="26" spans="1:8" s="207" customFormat="1" ht="15">
      <c r="A26" s="199"/>
      <c r="B26" s="199"/>
      <c r="C26" s="207" t="s">
        <v>55</v>
      </c>
      <c r="E26" s="209">
        <v>0</v>
      </c>
      <c r="F26" s="209">
        <v>300</v>
      </c>
      <c r="G26" s="209">
        <v>0</v>
      </c>
      <c r="H26" s="209">
        <v>300</v>
      </c>
    </row>
    <row r="27" spans="3:8" ht="15">
      <c r="C27" s="74" t="s">
        <v>91</v>
      </c>
      <c r="E27" s="30">
        <v>624.1220784</v>
      </c>
      <c r="F27" s="30">
        <v>0</v>
      </c>
      <c r="G27" s="30">
        <v>396</v>
      </c>
      <c r="H27" s="30">
        <v>1020.1220784</v>
      </c>
    </row>
    <row r="28" spans="3:8" ht="15">
      <c r="C28" s="74" t="s">
        <v>56</v>
      </c>
      <c r="E28" s="30">
        <v>0</v>
      </c>
      <c r="F28" s="30">
        <v>0</v>
      </c>
      <c r="G28" s="30">
        <v>0</v>
      </c>
      <c r="H28" s="30">
        <v>0</v>
      </c>
    </row>
    <row r="29" spans="1:9" ht="15.75" thickBot="1">
      <c r="A29" s="205"/>
      <c r="B29" s="204" t="s">
        <v>113</v>
      </c>
      <c r="C29" s="38"/>
      <c r="D29" s="31"/>
      <c r="E29" s="39">
        <v>3443.296939810625</v>
      </c>
      <c r="F29" s="39">
        <v>148944</v>
      </c>
      <c r="G29" s="39">
        <v>1769.8229999999999</v>
      </c>
      <c r="H29" s="39">
        <v>154157.12</v>
      </c>
      <c r="I29" s="9"/>
    </row>
    <row r="30" spans="3:8" ht="15">
      <c r="C30" s="35"/>
      <c r="E30" s="30"/>
      <c r="F30" s="30"/>
      <c r="G30" s="30"/>
      <c r="H30" s="30"/>
    </row>
    <row r="31" spans="1:8" s="207" customFormat="1" ht="15">
      <c r="A31" s="201" t="s">
        <v>87</v>
      </c>
      <c r="B31" s="199"/>
      <c r="C31" s="210"/>
      <c r="E31" s="209"/>
      <c r="F31" s="209"/>
      <c r="G31" s="209"/>
      <c r="H31" s="209"/>
    </row>
    <row r="32" spans="1:8" s="207" customFormat="1" ht="15">
      <c r="A32" s="199"/>
      <c r="B32" s="201" t="s">
        <v>89</v>
      </c>
      <c r="C32" s="210"/>
      <c r="E32" s="209"/>
      <c r="F32" s="209"/>
      <c r="G32" s="209"/>
      <c r="H32" s="209"/>
    </row>
    <row r="33" spans="1:8" s="207" customFormat="1" ht="15">
      <c r="A33" s="199"/>
      <c r="B33" s="199"/>
      <c r="C33" s="207" t="s">
        <v>57</v>
      </c>
      <c r="E33" s="209">
        <v>312.347917492</v>
      </c>
      <c r="F33" s="209">
        <v>78.59</v>
      </c>
      <c r="G33" s="209">
        <v>198</v>
      </c>
      <c r="H33" s="209">
        <v>588.94</v>
      </c>
    </row>
    <row r="34" spans="1:8" s="207" customFormat="1" ht="15">
      <c r="A34" s="199"/>
      <c r="B34" s="199"/>
      <c r="C34" s="207" t="s">
        <v>58</v>
      </c>
      <c r="E34" s="209">
        <v>0</v>
      </c>
      <c r="F34" s="209">
        <v>0</v>
      </c>
      <c r="G34" s="209">
        <v>825</v>
      </c>
      <c r="H34" s="209">
        <v>825</v>
      </c>
    </row>
    <row r="35" spans="1:8" s="207" customFormat="1" ht="15">
      <c r="A35" s="199"/>
      <c r="B35" s="201"/>
      <c r="C35" s="207" t="s">
        <v>59</v>
      </c>
      <c r="E35" s="209">
        <v>0</v>
      </c>
      <c r="F35" s="209">
        <v>700</v>
      </c>
      <c r="G35" s="209">
        <v>0</v>
      </c>
      <c r="H35" s="209">
        <v>700</v>
      </c>
    </row>
    <row r="36" spans="1:8" s="207" customFormat="1" ht="15">
      <c r="A36" s="199"/>
      <c r="B36" s="199"/>
      <c r="C36" s="207" t="s">
        <v>60</v>
      </c>
      <c r="E36" s="209">
        <v>38.04452637000001</v>
      </c>
      <c r="F36" s="209">
        <v>0</v>
      </c>
      <c r="G36" s="209">
        <v>14.849999999999998</v>
      </c>
      <c r="H36" s="209">
        <v>52.89452637000001</v>
      </c>
    </row>
    <row r="37" spans="1:8" s="207" customFormat="1" ht="15">
      <c r="A37" s="199"/>
      <c r="B37" s="199"/>
      <c r="C37" s="207" t="s">
        <v>61</v>
      </c>
      <c r="E37" s="209">
        <v>677.2961787666668</v>
      </c>
      <c r="F37" s="209">
        <v>0</v>
      </c>
      <c r="G37" s="209">
        <v>396</v>
      </c>
      <c r="H37" s="209">
        <v>1073.2961787666668</v>
      </c>
    </row>
    <row r="38" spans="1:8" s="207" customFormat="1" ht="15">
      <c r="A38" s="199"/>
      <c r="B38" s="201"/>
      <c r="C38" s="207" t="s">
        <v>57</v>
      </c>
      <c r="E38" s="209">
        <v>312.347917492</v>
      </c>
      <c r="F38" s="209">
        <v>1372.8</v>
      </c>
      <c r="G38" s="209">
        <v>198</v>
      </c>
      <c r="H38" s="209">
        <v>1883.15</v>
      </c>
    </row>
    <row r="39" spans="1:8" s="207" customFormat="1" ht="15">
      <c r="A39" s="199"/>
      <c r="B39" s="199"/>
      <c r="C39" s="207" t="s">
        <v>62</v>
      </c>
      <c r="E39" s="209">
        <v>342.16757704</v>
      </c>
      <c r="F39" s="209">
        <v>8000</v>
      </c>
      <c r="G39" s="209">
        <v>396</v>
      </c>
      <c r="H39" s="209">
        <v>8738.16757704</v>
      </c>
    </row>
    <row r="40" spans="1:8" s="207" customFormat="1" ht="15">
      <c r="A40" s="199"/>
      <c r="B40" s="199"/>
      <c r="C40" s="207" t="s">
        <v>63</v>
      </c>
      <c r="E40" s="209">
        <v>0</v>
      </c>
      <c r="F40" s="209">
        <v>0</v>
      </c>
      <c r="G40" s="209">
        <v>660</v>
      </c>
      <c r="H40" s="209">
        <v>660</v>
      </c>
    </row>
    <row r="41" spans="1:8" s="207" customFormat="1" ht="15">
      <c r="A41" s="199"/>
      <c r="B41" s="210" t="s">
        <v>93</v>
      </c>
      <c r="E41" s="209"/>
      <c r="F41" s="209"/>
      <c r="G41" s="209"/>
      <c r="H41" s="209"/>
    </row>
    <row r="42" spans="1:8" s="207" customFormat="1" ht="15">
      <c r="A42" s="199"/>
      <c r="B42" s="199"/>
      <c r="C42" s="207" t="s">
        <v>64</v>
      </c>
      <c r="E42" s="209">
        <v>334.09</v>
      </c>
      <c r="F42" s="209">
        <v>0</v>
      </c>
      <c r="G42" s="209">
        <v>82.5</v>
      </c>
      <c r="H42" s="209">
        <v>416.59</v>
      </c>
    </row>
    <row r="43" spans="1:8" s="207" customFormat="1" ht="15">
      <c r="A43" s="199"/>
      <c r="B43" s="199"/>
      <c r="C43" s="207" t="s">
        <v>502</v>
      </c>
      <c r="E43" s="209">
        <v>124.94</v>
      </c>
      <c r="F43" s="209">
        <v>312.3</v>
      </c>
      <c r="G43" s="209">
        <v>79.2</v>
      </c>
      <c r="H43" s="209">
        <v>516.44</v>
      </c>
    </row>
    <row r="44" spans="1:8" s="207" customFormat="1" ht="15">
      <c r="A44" s="199"/>
      <c r="B44" s="210" t="s">
        <v>94</v>
      </c>
      <c r="E44" s="209"/>
      <c r="F44" s="209"/>
      <c r="G44" s="209"/>
      <c r="H44" s="209"/>
    </row>
    <row r="45" spans="1:8" s="207" customFormat="1" ht="15">
      <c r="A45" s="199"/>
      <c r="B45" s="199"/>
      <c r="C45" s="207" t="s">
        <v>95</v>
      </c>
      <c r="E45" s="209">
        <v>220.92413183400004</v>
      </c>
      <c r="F45" s="209">
        <v>0</v>
      </c>
      <c r="G45" s="209">
        <v>131.67000000000002</v>
      </c>
      <c r="H45" s="209">
        <v>352.59413183400005</v>
      </c>
    </row>
    <row r="46" spans="1:8" s="207" customFormat="1" ht="15">
      <c r="A46" s="199"/>
      <c r="B46" s="199"/>
      <c r="C46" s="207" t="s">
        <v>64</v>
      </c>
      <c r="E46" s="209">
        <v>417.62</v>
      </c>
      <c r="F46" s="209">
        <v>0</v>
      </c>
      <c r="G46" s="209">
        <v>99</v>
      </c>
      <c r="H46" s="209">
        <v>516.62</v>
      </c>
    </row>
    <row r="47" spans="1:8" s="207" customFormat="1" ht="15">
      <c r="A47" s="199"/>
      <c r="B47" s="199"/>
      <c r="C47" s="207" t="s">
        <v>407</v>
      </c>
      <c r="E47" s="209">
        <v>62.47</v>
      </c>
      <c r="F47" s="209">
        <v>156.15</v>
      </c>
      <c r="G47" s="209">
        <v>39.6</v>
      </c>
      <c r="H47" s="209">
        <v>258.22</v>
      </c>
    </row>
    <row r="48" spans="1:8" s="207" customFormat="1" ht="15">
      <c r="A48" s="199"/>
      <c r="B48" s="210" t="s">
        <v>96</v>
      </c>
      <c r="E48" s="209"/>
      <c r="F48" s="209"/>
      <c r="G48" s="209"/>
      <c r="H48" s="209"/>
    </row>
    <row r="49" spans="1:8" s="207" customFormat="1" ht="15">
      <c r="A49" s="199"/>
      <c r="B49" s="199"/>
      <c r="C49" s="207" t="s">
        <v>57</v>
      </c>
      <c r="E49" s="209">
        <v>104.16803048358202</v>
      </c>
      <c r="F49" s="209">
        <v>1372.8</v>
      </c>
      <c r="G49" s="209">
        <v>66.033</v>
      </c>
      <c r="H49" s="209">
        <v>1543</v>
      </c>
    </row>
    <row r="50" spans="1:8" s="207" customFormat="1" ht="15">
      <c r="A50" s="199"/>
      <c r="B50" s="199"/>
      <c r="C50" s="207" t="s">
        <v>65</v>
      </c>
      <c r="E50" s="209">
        <v>0</v>
      </c>
      <c r="F50" s="209">
        <v>0</v>
      </c>
      <c r="G50" s="209">
        <v>660</v>
      </c>
      <c r="H50" s="209">
        <v>660</v>
      </c>
    </row>
    <row r="51" spans="1:8" s="207" customFormat="1" ht="15">
      <c r="A51" s="199"/>
      <c r="B51" s="201"/>
      <c r="C51" s="207" t="s">
        <v>100</v>
      </c>
      <c r="E51" s="209">
        <v>159.66611114666668</v>
      </c>
      <c r="F51" s="209">
        <v>152</v>
      </c>
      <c r="G51" s="209">
        <v>198</v>
      </c>
      <c r="H51" s="209">
        <v>509.6661111466667</v>
      </c>
    </row>
    <row r="52" spans="1:8" s="207" customFormat="1" ht="15">
      <c r="A52" s="199"/>
      <c r="B52" s="199"/>
      <c r="C52" s="207" t="s">
        <v>64</v>
      </c>
      <c r="E52" s="209">
        <v>334.09</v>
      </c>
      <c r="F52" s="209">
        <v>0</v>
      </c>
      <c r="G52" s="209">
        <v>82.5</v>
      </c>
      <c r="H52" s="209">
        <v>416.59</v>
      </c>
    </row>
    <row r="53" spans="1:8" s="207" customFormat="1" ht="15">
      <c r="A53" s="199"/>
      <c r="B53" s="199"/>
      <c r="C53" s="207" t="s">
        <v>95</v>
      </c>
      <c r="E53" s="209">
        <v>220.92413183400004</v>
      </c>
      <c r="F53" s="209">
        <v>0</v>
      </c>
      <c r="G53" s="209">
        <v>131.67000000000002</v>
      </c>
      <c r="H53" s="209">
        <v>352.59413183400005</v>
      </c>
    </row>
    <row r="54" spans="1:8" s="207" customFormat="1" ht="15">
      <c r="A54" s="199"/>
      <c r="B54" s="210" t="s">
        <v>97</v>
      </c>
      <c r="E54" s="209"/>
      <c r="F54" s="209"/>
      <c r="G54" s="209"/>
      <c r="H54" s="209"/>
    </row>
    <row r="55" spans="1:8" s="207" customFormat="1" ht="15">
      <c r="A55" s="199"/>
      <c r="B55" s="201"/>
      <c r="C55" s="207" t="s">
        <v>95</v>
      </c>
      <c r="E55" s="209">
        <v>220.92413183400004</v>
      </c>
      <c r="F55" s="209">
        <v>0</v>
      </c>
      <c r="G55" s="209">
        <v>131.67000000000002</v>
      </c>
      <c r="H55" s="209">
        <v>352.59413183400005</v>
      </c>
    </row>
    <row r="56" spans="1:8" s="207" customFormat="1" ht="15">
      <c r="A56" s="199"/>
      <c r="B56" s="199"/>
      <c r="C56" s="207" t="s">
        <v>66</v>
      </c>
      <c r="E56" s="209"/>
      <c r="F56" s="209"/>
      <c r="G56" s="209">
        <v>1650</v>
      </c>
      <c r="H56" s="209">
        <v>1650</v>
      </c>
    </row>
    <row r="57" spans="1:8" s="207" customFormat="1" ht="15">
      <c r="A57" s="199"/>
      <c r="B57" s="199"/>
      <c r="C57" s="207" t="s">
        <v>64</v>
      </c>
      <c r="E57" s="209">
        <v>751.71</v>
      </c>
      <c r="F57" s="209">
        <v>0</v>
      </c>
      <c r="G57" s="209">
        <v>181.5</v>
      </c>
      <c r="H57" s="209">
        <v>933.21</v>
      </c>
    </row>
    <row r="58" spans="1:8" s="207" customFormat="1" ht="15">
      <c r="A58" s="199"/>
      <c r="B58" s="199"/>
      <c r="C58" s="207" t="s">
        <v>57</v>
      </c>
      <c r="E58" s="209">
        <v>156.173958746</v>
      </c>
      <c r="F58" s="209">
        <v>1372.8</v>
      </c>
      <c r="G58" s="209">
        <v>99</v>
      </c>
      <c r="H58" s="209">
        <v>1627.97</v>
      </c>
    </row>
    <row r="59" spans="1:8" s="207" customFormat="1" ht="15">
      <c r="A59" s="199"/>
      <c r="B59" s="210" t="s">
        <v>114</v>
      </c>
      <c r="E59" s="209"/>
      <c r="F59" s="209"/>
      <c r="G59" s="209"/>
      <c r="H59" s="209"/>
    </row>
    <row r="60" spans="1:8" s="207" customFormat="1" ht="15">
      <c r="A60" s="199"/>
      <c r="B60" s="199"/>
      <c r="C60" s="207" t="s">
        <v>57</v>
      </c>
      <c r="E60" s="209">
        <v>104.16803048358202</v>
      </c>
      <c r="F60" s="209">
        <v>78.59</v>
      </c>
      <c r="G60" s="209">
        <v>66.033</v>
      </c>
      <c r="H60" s="209">
        <v>248.79</v>
      </c>
    </row>
    <row r="61" spans="1:8" s="207" customFormat="1" ht="15">
      <c r="A61" s="199"/>
      <c r="B61" s="199"/>
      <c r="C61" s="207" t="s">
        <v>64</v>
      </c>
      <c r="E61" s="209">
        <v>167.05</v>
      </c>
      <c r="F61" s="209">
        <v>0</v>
      </c>
      <c r="G61" s="209">
        <v>41.25</v>
      </c>
      <c r="H61" s="209">
        <v>933.21</v>
      </c>
    </row>
    <row r="62" spans="1:8" s="207" customFormat="1" ht="15">
      <c r="A62" s="199"/>
      <c r="B62" s="210" t="s">
        <v>98</v>
      </c>
      <c r="E62" s="209"/>
      <c r="F62" s="209"/>
      <c r="G62" s="209"/>
      <c r="H62" s="209"/>
    </row>
    <row r="63" spans="1:8" s="207" customFormat="1" ht="15">
      <c r="A63" s="199"/>
      <c r="B63" s="199"/>
      <c r="C63" s="207" t="s">
        <v>64</v>
      </c>
      <c r="E63" s="209">
        <v>8.97</v>
      </c>
      <c r="F63" s="209">
        <v>0</v>
      </c>
      <c r="G63" s="209">
        <v>4.125</v>
      </c>
      <c r="H63" s="209">
        <v>13.09</v>
      </c>
    </row>
    <row r="64" spans="1:8" s="207" customFormat="1" ht="15">
      <c r="A64" s="199"/>
      <c r="B64" s="199"/>
      <c r="C64" s="207" t="s">
        <v>95</v>
      </c>
      <c r="E64" s="209">
        <v>220.92413183400004</v>
      </c>
      <c r="F64" s="209">
        <v>0</v>
      </c>
      <c r="G64" s="209">
        <v>131.67000000000002</v>
      </c>
      <c r="H64" s="209">
        <v>352.59413183400005</v>
      </c>
    </row>
    <row r="65" spans="1:8" s="207" customFormat="1" ht="15">
      <c r="A65" s="199"/>
      <c r="B65" s="210" t="s">
        <v>90</v>
      </c>
      <c r="E65" s="209"/>
      <c r="F65" s="209"/>
      <c r="G65" s="209"/>
      <c r="H65" s="209"/>
    </row>
    <row r="66" spans="1:8" s="207" customFormat="1" ht="15">
      <c r="A66" s="199"/>
      <c r="B66" s="199"/>
      <c r="C66" s="207" t="s">
        <v>51</v>
      </c>
      <c r="E66" s="209">
        <v>0</v>
      </c>
      <c r="F66" s="209">
        <v>320</v>
      </c>
      <c r="G66" s="209">
        <v>0</v>
      </c>
      <c r="H66" s="209">
        <v>320</v>
      </c>
    </row>
    <row r="67" spans="1:8" s="207" customFormat="1" ht="15">
      <c r="A67" s="199"/>
      <c r="B67" s="199"/>
      <c r="C67" s="207" t="s">
        <v>52</v>
      </c>
      <c r="E67" s="209">
        <v>0</v>
      </c>
      <c r="F67" s="209">
        <v>0</v>
      </c>
      <c r="G67" s="209">
        <v>0</v>
      </c>
      <c r="H67" s="209">
        <v>0</v>
      </c>
    </row>
    <row r="68" spans="1:8" s="207" customFormat="1" ht="15">
      <c r="A68" s="199"/>
      <c r="B68" s="201"/>
      <c r="C68" s="207" t="s">
        <v>53</v>
      </c>
      <c r="E68" s="209">
        <v>0</v>
      </c>
      <c r="F68" s="209">
        <v>0</v>
      </c>
      <c r="G68" s="209">
        <v>0</v>
      </c>
      <c r="H68" s="209">
        <v>0</v>
      </c>
    </row>
    <row r="69" spans="1:8" s="207" customFormat="1" ht="15">
      <c r="A69" s="199"/>
      <c r="B69" s="199"/>
      <c r="C69" s="207" t="s">
        <v>54</v>
      </c>
      <c r="E69" s="209">
        <v>0</v>
      </c>
      <c r="F69" s="209">
        <v>600</v>
      </c>
      <c r="G69" s="209">
        <v>0</v>
      </c>
      <c r="H69" s="209">
        <v>600</v>
      </c>
    </row>
    <row r="70" spans="1:8" s="207" customFormat="1" ht="15">
      <c r="A70" s="199"/>
      <c r="B70" s="199"/>
      <c r="C70" s="207" t="s">
        <v>55</v>
      </c>
      <c r="E70" s="209">
        <v>0</v>
      </c>
      <c r="F70" s="209">
        <v>460</v>
      </c>
      <c r="G70" s="209">
        <v>0</v>
      </c>
      <c r="H70" s="209">
        <v>460</v>
      </c>
    </row>
    <row r="71" spans="1:8" s="207" customFormat="1" ht="15">
      <c r="A71" s="199"/>
      <c r="B71" s="201"/>
      <c r="C71" s="207" t="s">
        <v>91</v>
      </c>
      <c r="E71" s="209">
        <v>624.1220784</v>
      </c>
      <c r="F71" s="209">
        <v>0</v>
      </c>
      <c r="G71" s="209">
        <v>396</v>
      </c>
      <c r="H71" s="209">
        <v>1020.1220784</v>
      </c>
    </row>
    <row r="72" spans="1:8" ht="15">
      <c r="A72" s="199"/>
      <c r="B72" s="199"/>
      <c r="C72" s="74" t="s">
        <v>56</v>
      </c>
      <c r="E72" s="30">
        <v>0</v>
      </c>
      <c r="F72" s="30">
        <v>0</v>
      </c>
      <c r="G72" s="30">
        <v>0</v>
      </c>
      <c r="H72" s="30">
        <v>0</v>
      </c>
    </row>
    <row r="73" spans="1:8" ht="15.75" thickBot="1">
      <c r="A73" s="205"/>
      <c r="B73" s="204" t="s">
        <v>107</v>
      </c>
      <c r="C73" s="38" t="s">
        <v>107</v>
      </c>
      <c r="D73" s="31"/>
      <c r="E73" s="39">
        <v>5915.14</v>
      </c>
      <c r="F73" s="39">
        <v>14976.03</v>
      </c>
      <c r="G73" s="39">
        <v>6959.27</v>
      </c>
      <c r="H73" s="39">
        <v>27850.43</v>
      </c>
    </row>
    <row r="74" spans="3:8" ht="15">
      <c r="C74" s="35"/>
      <c r="E74" s="30"/>
      <c r="F74" s="30"/>
      <c r="G74" s="30"/>
      <c r="H74" s="30"/>
    </row>
    <row r="75" spans="1:8" s="207" customFormat="1" ht="15">
      <c r="A75" s="201" t="s">
        <v>99</v>
      </c>
      <c r="B75" s="199"/>
      <c r="C75" s="210"/>
      <c r="E75" s="209"/>
      <c r="F75" s="209"/>
      <c r="G75" s="209"/>
      <c r="H75" s="209"/>
    </row>
    <row r="76" spans="1:8" s="207" customFormat="1" ht="15">
      <c r="A76" s="199"/>
      <c r="B76" s="201" t="s">
        <v>115</v>
      </c>
      <c r="C76" s="210"/>
      <c r="E76" s="209"/>
      <c r="F76" s="209"/>
      <c r="G76" s="209"/>
      <c r="H76" s="209"/>
    </row>
    <row r="77" spans="1:8" s="207" customFormat="1" ht="15">
      <c r="A77" s="199"/>
      <c r="B77" s="199"/>
      <c r="C77" s="207" t="s">
        <v>100</v>
      </c>
      <c r="E77" s="209">
        <v>159.66611114666668</v>
      </c>
      <c r="F77" s="209">
        <v>960</v>
      </c>
      <c r="G77" s="209">
        <v>198</v>
      </c>
      <c r="H77" s="209">
        <v>1317.6661111466667</v>
      </c>
    </row>
    <row r="78" spans="1:8" s="207" customFormat="1" ht="15">
      <c r="A78" s="199"/>
      <c r="B78" s="201" t="s">
        <v>88</v>
      </c>
      <c r="C78" s="210"/>
      <c r="E78" s="209"/>
      <c r="F78" s="209"/>
      <c r="G78" s="209"/>
      <c r="H78" s="209"/>
    </row>
    <row r="79" spans="1:8" s="207" customFormat="1" ht="15">
      <c r="A79" s="199"/>
      <c r="B79" s="199"/>
      <c r="C79" s="207" t="s">
        <v>57</v>
      </c>
      <c r="E79" s="209">
        <v>156.173958746</v>
      </c>
      <c r="F79" s="209">
        <v>319.8</v>
      </c>
      <c r="G79" s="209">
        <v>99</v>
      </c>
      <c r="H79" s="209">
        <v>547.97</v>
      </c>
    </row>
    <row r="80" spans="1:8" s="207" customFormat="1" ht="15">
      <c r="A80" s="199"/>
      <c r="B80" s="201" t="s">
        <v>93</v>
      </c>
      <c r="C80" s="210"/>
      <c r="E80" s="209"/>
      <c r="F80" s="209"/>
      <c r="G80" s="209"/>
      <c r="H80" s="209"/>
    </row>
    <row r="81" spans="1:8" s="207" customFormat="1" ht="15">
      <c r="A81" s="199"/>
      <c r="B81" s="199"/>
      <c r="C81" s="207" t="s">
        <v>144</v>
      </c>
      <c r="E81" s="209">
        <v>334.09</v>
      </c>
      <c r="F81" s="209">
        <v>0</v>
      </c>
      <c r="G81" s="209">
        <v>82.5</v>
      </c>
      <c r="H81" s="209">
        <v>416.59</v>
      </c>
    </row>
    <row r="82" spans="1:8" s="207" customFormat="1" ht="15">
      <c r="A82" s="199"/>
      <c r="B82" s="199"/>
      <c r="C82" s="207" t="s">
        <v>502</v>
      </c>
      <c r="E82" s="209">
        <v>124.94</v>
      </c>
      <c r="F82" s="209">
        <v>312.3</v>
      </c>
      <c r="G82" s="209">
        <v>79.2</v>
      </c>
      <c r="H82" s="209">
        <v>516.44</v>
      </c>
    </row>
    <row r="83" spans="1:8" s="207" customFormat="1" ht="15">
      <c r="A83" s="199"/>
      <c r="B83" s="201" t="s">
        <v>117</v>
      </c>
      <c r="C83" s="210"/>
      <c r="E83" s="209"/>
      <c r="F83" s="209"/>
      <c r="G83" s="209"/>
      <c r="H83" s="209"/>
    </row>
    <row r="84" spans="1:8" s="207" customFormat="1" ht="15">
      <c r="A84" s="199"/>
      <c r="B84" s="199"/>
      <c r="C84" s="207" t="s">
        <v>100</v>
      </c>
      <c r="E84" s="209">
        <v>159.66611114666668</v>
      </c>
      <c r="F84" s="209">
        <v>152</v>
      </c>
      <c r="G84" s="209">
        <v>198</v>
      </c>
      <c r="H84" s="209">
        <v>509.6661111466667</v>
      </c>
    </row>
    <row r="85" spans="1:8" s="207" customFormat="1" ht="15">
      <c r="A85" s="199"/>
      <c r="B85" s="199"/>
      <c r="C85" s="207" t="s">
        <v>95</v>
      </c>
      <c r="E85" s="209">
        <v>220.92413183400004</v>
      </c>
      <c r="F85" s="209">
        <v>0</v>
      </c>
      <c r="G85" s="209">
        <v>131.67000000000002</v>
      </c>
      <c r="H85" s="209">
        <v>352.59413183400005</v>
      </c>
    </row>
    <row r="86" spans="1:8" s="207" customFormat="1" ht="15">
      <c r="A86" s="199"/>
      <c r="B86" s="199"/>
      <c r="C86" s="207" t="s">
        <v>144</v>
      </c>
      <c r="E86" s="209">
        <v>417.62</v>
      </c>
      <c r="F86" s="209">
        <v>0</v>
      </c>
      <c r="G86" s="209">
        <v>99</v>
      </c>
      <c r="H86" s="209">
        <v>516.62</v>
      </c>
    </row>
    <row r="87" spans="1:8" s="207" customFormat="1" ht="15">
      <c r="A87" s="199"/>
      <c r="B87" s="199"/>
      <c r="C87" s="207" t="s">
        <v>407</v>
      </c>
      <c r="E87" s="209">
        <v>62.47</v>
      </c>
      <c r="F87" s="209">
        <v>156.15</v>
      </c>
      <c r="G87" s="209">
        <v>39.6</v>
      </c>
      <c r="H87" s="209">
        <v>258.22</v>
      </c>
    </row>
    <row r="88" spans="1:8" s="207" customFormat="1" ht="15">
      <c r="A88" s="199"/>
      <c r="B88" s="201" t="s">
        <v>96</v>
      </c>
      <c r="C88" s="210"/>
      <c r="E88" s="209"/>
      <c r="F88" s="209"/>
      <c r="G88" s="209"/>
      <c r="H88" s="209"/>
    </row>
    <row r="89" spans="1:8" s="207" customFormat="1" ht="15">
      <c r="A89" s="199"/>
      <c r="B89" s="199"/>
      <c r="C89" s="207" t="s">
        <v>65</v>
      </c>
      <c r="E89" s="209">
        <v>0</v>
      </c>
      <c r="F89" s="209">
        <v>0</v>
      </c>
      <c r="G89" s="209">
        <v>660</v>
      </c>
      <c r="H89" s="209">
        <v>660</v>
      </c>
    </row>
    <row r="90" spans="1:8" s="207" customFormat="1" ht="15">
      <c r="A90" s="199"/>
      <c r="B90" s="199"/>
      <c r="C90" s="207" t="s">
        <v>95</v>
      </c>
      <c r="E90" s="209">
        <v>220.92413183400004</v>
      </c>
      <c r="F90" s="209">
        <v>0</v>
      </c>
      <c r="G90" s="209">
        <v>131.67000000000002</v>
      </c>
      <c r="H90" s="209">
        <v>352.59413183400005</v>
      </c>
    </row>
    <row r="91" spans="1:8" s="207" customFormat="1" ht="15">
      <c r="A91" s="199"/>
      <c r="B91" s="199"/>
      <c r="C91" s="207" t="s">
        <v>57</v>
      </c>
      <c r="E91" s="209">
        <v>104.16803048358202</v>
      </c>
      <c r="F91" s="209">
        <v>78.59</v>
      </c>
      <c r="G91" s="209">
        <v>66.033</v>
      </c>
      <c r="H91" s="209">
        <v>248.79</v>
      </c>
    </row>
    <row r="92" spans="1:8" s="207" customFormat="1" ht="15">
      <c r="A92" s="199"/>
      <c r="B92" s="199"/>
      <c r="C92" s="207" t="s">
        <v>144</v>
      </c>
      <c r="E92" s="209">
        <v>334.09</v>
      </c>
      <c r="F92" s="209">
        <v>0</v>
      </c>
      <c r="G92" s="209">
        <v>82.5</v>
      </c>
      <c r="H92" s="209">
        <v>416.59</v>
      </c>
    </row>
    <row r="93" spans="1:8" s="207" customFormat="1" ht="15">
      <c r="A93" s="199"/>
      <c r="B93" s="199"/>
      <c r="C93" s="207" t="s">
        <v>100</v>
      </c>
      <c r="E93" s="209">
        <v>159.66611114666668</v>
      </c>
      <c r="F93" s="209">
        <v>152</v>
      </c>
      <c r="G93" s="209">
        <v>198</v>
      </c>
      <c r="H93" s="209">
        <v>509.6661111466667</v>
      </c>
    </row>
    <row r="94" spans="1:8" s="207" customFormat="1" ht="15">
      <c r="A94" s="199"/>
      <c r="B94" s="201" t="s">
        <v>97</v>
      </c>
      <c r="C94" s="210"/>
      <c r="E94" s="209"/>
      <c r="F94" s="209"/>
      <c r="G94" s="209"/>
      <c r="H94" s="209"/>
    </row>
    <row r="95" spans="1:8" s="207" customFormat="1" ht="15">
      <c r="A95" s="199"/>
      <c r="B95" s="199"/>
      <c r="C95" s="207" t="s">
        <v>66</v>
      </c>
      <c r="E95" s="209">
        <v>0</v>
      </c>
      <c r="F95" s="209">
        <v>0</v>
      </c>
      <c r="G95" s="209">
        <v>2805</v>
      </c>
      <c r="H95" s="209">
        <v>2805</v>
      </c>
    </row>
    <row r="96" spans="1:8" s="207" customFormat="1" ht="15">
      <c r="A96" s="199"/>
      <c r="B96" s="199"/>
      <c r="C96" s="207" t="s">
        <v>95</v>
      </c>
      <c r="E96" s="209">
        <v>220.92413183400004</v>
      </c>
      <c r="F96" s="209">
        <v>0</v>
      </c>
      <c r="G96" s="209">
        <v>131.67000000000002</v>
      </c>
      <c r="H96" s="209">
        <v>352.59413183400005</v>
      </c>
    </row>
    <row r="97" spans="1:8" s="207" customFormat="1" ht="15">
      <c r="A97" s="199"/>
      <c r="B97" s="199"/>
      <c r="C97" s="207" t="s">
        <v>144</v>
      </c>
      <c r="E97" s="209">
        <v>751.71</v>
      </c>
      <c r="F97" s="209">
        <v>0</v>
      </c>
      <c r="G97" s="209">
        <v>181.5</v>
      </c>
      <c r="H97" s="209">
        <v>933.21</v>
      </c>
    </row>
    <row r="98" spans="1:8" s="207" customFormat="1" ht="15">
      <c r="A98" s="199"/>
      <c r="B98" s="199"/>
      <c r="C98" s="207" t="s">
        <v>57</v>
      </c>
      <c r="E98" s="209">
        <v>156.173958746</v>
      </c>
      <c r="F98" s="209">
        <v>319.8</v>
      </c>
      <c r="G98" s="209">
        <v>99</v>
      </c>
      <c r="H98" s="209">
        <v>574.97</v>
      </c>
    </row>
    <row r="99" spans="1:8" s="207" customFormat="1" ht="15">
      <c r="A99" s="199"/>
      <c r="B99" s="201" t="s">
        <v>114</v>
      </c>
      <c r="C99" s="210"/>
      <c r="E99" s="209"/>
      <c r="F99" s="209"/>
      <c r="G99" s="209"/>
      <c r="H99" s="209"/>
    </row>
    <row r="100" spans="1:8" s="207" customFormat="1" ht="15">
      <c r="A100" s="199"/>
      <c r="B100" s="199"/>
      <c r="C100" s="207" t="s">
        <v>57</v>
      </c>
      <c r="E100" s="209">
        <v>156.173958746</v>
      </c>
      <c r="F100" s="209">
        <v>177</v>
      </c>
      <c r="G100" s="209">
        <v>99</v>
      </c>
      <c r="H100" s="209">
        <v>432.17395874600004</v>
      </c>
    </row>
    <row r="101" spans="1:8" s="207" customFormat="1" ht="15">
      <c r="A101" s="199"/>
      <c r="B101" s="199"/>
      <c r="C101" s="207" t="s">
        <v>144</v>
      </c>
      <c r="E101" s="209">
        <v>167.05</v>
      </c>
      <c r="F101" s="209">
        <v>0</v>
      </c>
      <c r="G101" s="209">
        <v>41.25</v>
      </c>
      <c r="H101" s="209">
        <v>208.3</v>
      </c>
    </row>
    <row r="102" spans="1:8" s="207" customFormat="1" ht="15">
      <c r="A102" s="199"/>
      <c r="B102" s="201" t="s">
        <v>98</v>
      </c>
      <c r="C102" s="210"/>
      <c r="E102" s="209"/>
      <c r="F102" s="209"/>
      <c r="G102" s="209"/>
      <c r="H102" s="209"/>
    </row>
    <row r="103" spans="1:8" s="207" customFormat="1" ht="15">
      <c r="A103" s="199"/>
      <c r="B103" s="199"/>
      <c r="C103" s="207" t="s">
        <v>95</v>
      </c>
      <c r="E103" s="209">
        <v>220.92413183400004</v>
      </c>
      <c r="F103" s="209">
        <v>0</v>
      </c>
      <c r="G103" s="209">
        <v>131.67000000000002</v>
      </c>
      <c r="H103" s="209">
        <v>352.59413183400005</v>
      </c>
    </row>
    <row r="104" spans="1:8" s="207" customFormat="1" ht="15">
      <c r="A104" s="199"/>
      <c r="B104" s="201" t="s">
        <v>90</v>
      </c>
      <c r="C104" s="210"/>
      <c r="E104" s="209"/>
      <c r="F104" s="209"/>
      <c r="G104" s="209"/>
      <c r="H104" s="209"/>
    </row>
    <row r="105" spans="1:8" s="207" customFormat="1" ht="15">
      <c r="A105" s="199"/>
      <c r="B105" s="75"/>
      <c r="C105" s="207" t="s">
        <v>51</v>
      </c>
      <c r="E105" s="209">
        <v>0</v>
      </c>
      <c r="F105" s="209">
        <v>360</v>
      </c>
      <c r="G105" s="209">
        <v>0</v>
      </c>
      <c r="H105" s="209">
        <v>360</v>
      </c>
    </row>
    <row r="106" spans="1:8" s="207" customFormat="1" ht="15">
      <c r="A106" s="199"/>
      <c r="B106" s="75"/>
      <c r="C106" s="207" t="s">
        <v>52</v>
      </c>
      <c r="E106" s="209">
        <v>0</v>
      </c>
      <c r="F106" s="209">
        <v>0</v>
      </c>
      <c r="G106" s="209">
        <v>0</v>
      </c>
      <c r="H106" s="209">
        <v>0</v>
      </c>
    </row>
    <row r="107" spans="1:8" s="207" customFormat="1" ht="15">
      <c r="A107" s="199"/>
      <c r="B107" s="75"/>
      <c r="C107" s="207" t="s">
        <v>53</v>
      </c>
      <c r="E107" s="209">
        <v>0</v>
      </c>
      <c r="F107" s="209">
        <v>0</v>
      </c>
      <c r="G107" s="209">
        <v>0</v>
      </c>
      <c r="H107" s="209">
        <v>0</v>
      </c>
    </row>
    <row r="108" spans="1:8" ht="15">
      <c r="A108" s="199"/>
      <c r="C108" s="74" t="s">
        <v>54</v>
      </c>
      <c r="E108" s="30">
        <v>0</v>
      </c>
      <c r="F108" s="30">
        <v>600</v>
      </c>
      <c r="G108" s="30">
        <v>0</v>
      </c>
      <c r="H108" s="30">
        <v>600</v>
      </c>
    </row>
    <row r="109" spans="3:8" ht="15">
      <c r="C109" s="74" t="s">
        <v>55</v>
      </c>
      <c r="E109" s="30">
        <v>0</v>
      </c>
      <c r="F109" s="30">
        <v>500</v>
      </c>
      <c r="G109" s="30">
        <v>0</v>
      </c>
      <c r="H109" s="30">
        <v>500</v>
      </c>
    </row>
    <row r="110" spans="3:8" ht="15">
      <c r="C110" s="74" t="s">
        <v>91</v>
      </c>
      <c r="E110" s="30">
        <v>624.1220784</v>
      </c>
      <c r="F110" s="30">
        <v>0</v>
      </c>
      <c r="G110" s="30">
        <v>396</v>
      </c>
      <c r="H110" s="30">
        <v>1020.1220784</v>
      </c>
    </row>
    <row r="111" spans="3:8" ht="15">
      <c r="C111" s="74" t="s">
        <v>56</v>
      </c>
      <c r="E111" s="30">
        <v>0</v>
      </c>
      <c r="F111" s="30">
        <v>0</v>
      </c>
      <c r="G111" s="30">
        <v>0</v>
      </c>
      <c r="H111" s="30">
        <v>0</v>
      </c>
    </row>
    <row r="112" spans="1:8" ht="15.75" thickBot="1">
      <c r="A112" s="205"/>
      <c r="B112" s="204" t="s">
        <v>108</v>
      </c>
      <c r="C112" s="38" t="s">
        <v>108</v>
      </c>
      <c r="D112" s="31"/>
      <c r="E112" s="39">
        <v>4751.48</v>
      </c>
      <c r="F112" s="39">
        <v>3989.23</v>
      </c>
      <c r="G112" s="39">
        <v>5950.26</v>
      </c>
      <c r="H112" s="39">
        <v>14690.96</v>
      </c>
    </row>
    <row r="113" spans="3:8" ht="15">
      <c r="C113" s="35"/>
      <c r="E113" s="30"/>
      <c r="F113" s="30"/>
      <c r="G113" s="30"/>
      <c r="H113" s="30"/>
    </row>
    <row r="114" spans="1:8" s="207" customFormat="1" ht="15">
      <c r="A114" s="201" t="s">
        <v>101</v>
      </c>
      <c r="B114" s="199"/>
      <c r="C114" s="210"/>
      <c r="E114" s="209"/>
      <c r="F114" s="209"/>
      <c r="G114" s="209"/>
      <c r="H114" s="209"/>
    </row>
    <row r="115" spans="1:8" s="207" customFormat="1" ht="15">
      <c r="A115" s="199"/>
      <c r="B115" s="201" t="s">
        <v>115</v>
      </c>
      <c r="C115" s="210"/>
      <c r="E115" s="209"/>
      <c r="F115" s="209"/>
      <c r="G115" s="209"/>
      <c r="H115" s="209"/>
    </row>
    <row r="116" spans="1:8" s="207" customFormat="1" ht="15">
      <c r="A116" s="199"/>
      <c r="B116" s="199"/>
      <c r="C116" s="207" t="s">
        <v>100</v>
      </c>
      <c r="E116" s="209">
        <v>159.66611114666668</v>
      </c>
      <c r="F116" s="209">
        <v>960</v>
      </c>
      <c r="G116" s="209">
        <v>198</v>
      </c>
      <c r="H116" s="209">
        <v>1317.6661111466667</v>
      </c>
    </row>
    <row r="117" spans="1:8" s="207" customFormat="1" ht="15">
      <c r="A117" s="199"/>
      <c r="B117" s="201" t="s">
        <v>88</v>
      </c>
      <c r="C117" s="210"/>
      <c r="E117" s="209"/>
      <c r="F117" s="209"/>
      <c r="G117" s="209"/>
      <c r="H117" s="209"/>
    </row>
    <row r="118" spans="1:8" s="207" customFormat="1" ht="15">
      <c r="A118" s="199"/>
      <c r="B118" s="199"/>
      <c r="C118" s="207" t="s">
        <v>57</v>
      </c>
      <c r="E118" s="209">
        <v>156.173958746</v>
      </c>
      <c r="F118" s="209">
        <v>319.8</v>
      </c>
      <c r="G118" s="209">
        <v>99</v>
      </c>
      <c r="H118" s="209">
        <v>574.97</v>
      </c>
    </row>
    <row r="119" spans="1:8" s="207" customFormat="1" ht="15">
      <c r="A119" s="199"/>
      <c r="B119" s="201" t="s">
        <v>93</v>
      </c>
      <c r="C119" s="210"/>
      <c r="E119" s="209"/>
      <c r="F119" s="209"/>
      <c r="G119" s="209"/>
      <c r="H119" s="209"/>
    </row>
    <row r="120" spans="1:8" s="207" customFormat="1" ht="15">
      <c r="A120" s="199"/>
      <c r="B120" s="199"/>
      <c r="C120" s="207" t="s">
        <v>144</v>
      </c>
      <c r="E120" s="209">
        <v>334.09</v>
      </c>
      <c r="F120" s="209">
        <v>0</v>
      </c>
      <c r="G120" s="209">
        <v>82.5</v>
      </c>
      <c r="H120" s="209">
        <v>416.59</v>
      </c>
    </row>
    <row r="121" spans="1:8" s="207" customFormat="1" ht="15">
      <c r="A121" s="199"/>
      <c r="B121" s="199"/>
      <c r="C121" s="207" t="s">
        <v>502</v>
      </c>
      <c r="E121" s="209">
        <v>124.94</v>
      </c>
      <c r="F121" s="209">
        <v>312.3</v>
      </c>
      <c r="G121" s="209">
        <v>79.2</v>
      </c>
      <c r="H121" s="209">
        <v>516.44</v>
      </c>
    </row>
    <row r="122" spans="1:8" s="207" customFormat="1" ht="15">
      <c r="A122" s="199"/>
      <c r="B122" s="201" t="s">
        <v>94</v>
      </c>
      <c r="C122" s="210"/>
      <c r="E122" s="209"/>
      <c r="F122" s="209"/>
      <c r="G122" s="209"/>
      <c r="H122" s="209"/>
    </row>
    <row r="123" spans="1:8" s="207" customFormat="1" ht="15">
      <c r="A123" s="199"/>
      <c r="B123" s="199"/>
      <c r="C123" s="207" t="s">
        <v>100</v>
      </c>
      <c r="E123" s="209">
        <v>159.66611114666668</v>
      </c>
      <c r="F123" s="209">
        <v>152</v>
      </c>
      <c r="G123" s="209">
        <v>198</v>
      </c>
      <c r="H123" s="209">
        <v>509.6661111466667</v>
      </c>
    </row>
    <row r="124" spans="1:8" s="207" customFormat="1" ht="15">
      <c r="A124" s="199"/>
      <c r="B124" s="199"/>
      <c r="C124" s="207" t="s">
        <v>95</v>
      </c>
      <c r="E124" s="209">
        <v>220.92413183400004</v>
      </c>
      <c r="F124" s="209">
        <v>0</v>
      </c>
      <c r="G124" s="209">
        <v>131.67000000000002</v>
      </c>
      <c r="H124" s="209">
        <v>352.59413183400005</v>
      </c>
    </row>
    <row r="125" spans="1:8" s="207" customFormat="1" ht="15">
      <c r="A125" s="199"/>
      <c r="B125" s="199"/>
      <c r="C125" s="207" t="s">
        <v>144</v>
      </c>
      <c r="E125" s="209">
        <v>417.62</v>
      </c>
      <c r="F125" s="209">
        <v>0</v>
      </c>
      <c r="G125" s="209">
        <v>99</v>
      </c>
      <c r="H125" s="209">
        <v>516.62</v>
      </c>
    </row>
    <row r="126" spans="1:8" s="207" customFormat="1" ht="15">
      <c r="A126" s="199"/>
      <c r="B126" s="199"/>
      <c r="C126" s="207" t="s">
        <v>407</v>
      </c>
      <c r="E126" s="209">
        <v>62.47</v>
      </c>
      <c r="F126" s="209">
        <v>156.15</v>
      </c>
      <c r="G126" s="209">
        <v>39.6</v>
      </c>
      <c r="H126" s="209">
        <v>258.22</v>
      </c>
    </row>
    <row r="127" spans="1:8" s="207" customFormat="1" ht="15">
      <c r="A127" s="199"/>
      <c r="B127" s="201" t="s">
        <v>96</v>
      </c>
      <c r="C127" s="210"/>
      <c r="E127" s="209"/>
      <c r="F127" s="209"/>
      <c r="G127" s="209"/>
      <c r="H127" s="209"/>
    </row>
    <row r="128" spans="1:8" s="207" customFormat="1" ht="15">
      <c r="A128" s="199"/>
      <c r="B128" s="199"/>
      <c r="C128" s="207" t="s">
        <v>66</v>
      </c>
      <c r="E128" s="209">
        <v>0</v>
      </c>
      <c r="F128" s="209">
        <v>0</v>
      </c>
      <c r="G128" s="209">
        <v>3300</v>
      </c>
      <c r="H128" s="209">
        <v>3300</v>
      </c>
    </row>
    <row r="129" spans="1:8" s="207" customFormat="1" ht="15">
      <c r="A129" s="199"/>
      <c r="B129" s="199"/>
      <c r="C129" s="207" t="s">
        <v>95</v>
      </c>
      <c r="E129" s="209">
        <v>220.92413183400004</v>
      </c>
      <c r="F129" s="209">
        <v>0</v>
      </c>
      <c r="G129" s="209">
        <v>131.67000000000002</v>
      </c>
      <c r="H129" s="209">
        <v>352.59413183400005</v>
      </c>
    </row>
    <row r="130" spans="1:8" s="207" customFormat="1" ht="15">
      <c r="A130" s="199"/>
      <c r="B130" s="199"/>
      <c r="C130" s="207" t="s">
        <v>57</v>
      </c>
      <c r="E130" s="209">
        <v>104.16803048358202</v>
      </c>
      <c r="F130" s="209">
        <v>78.59</v>
      </c>
      <c r="G130" s="209">
        <v>66.033</v>
      </c>
      <c r="H130" s="209">
        <v>248.79</v>
      </c>
    </row>
    <row r="131" spans="1:8" s="207" customFormat="1" ht="15">
      <c r="A131" s="199"/>
      <c r="B131" s="199"/>
      <c r="C131" s="207" t="s">
        <v>144</v>
      </c>
      <c r="E131" s="209">
        <v>334.09</v>
      </c>
      <c r="F131" s="209">
        <v>0</v>
      </c>
      <c r="G131" s="209">
        <v>82.5</v>
      </c>
      <c r="H131" s="209">
        <v>416.59</v>
      </c>
    </row>
    <row r="132" spans="1:8" s="207" customFormat="1" ht="15">
      <c r="A132" s="199"/>
      <c r="B132" s="199"/>
      <c r="C132" s="207" t="s">
        <v>100</v>
      </c>
      <c r="E132" s="209">
        <v>159.66611114666668</v>
      </c>
      <c r="F132" s="209">
        <v>152</v>
      </c>
      <c r="G132" s="209">
        <v>198</v>
      </c>
      <c r="H132" s="209">
        <v>509.6661111466667</v>
      </c>
    </row>
    <row r="133" spans="1:8" s="207" customFormat="1" ht="15">
      <c r="A133" s="199"/>
      <c r="B133" s="201" t="s">
        <v>118</v>
      </c>
      <c r="C133" s="210"/>
      <c r="E133" s="209"/>
      <c r="F133" s="209"/>
      <c r="G133" s="209"/>
      <c r="H133" s="209"/>
    </row>
    <row r="134" spans="1:8" s="207" customFormat="1" ht="15">
      <c r="A134" s="199"/>
      <c r="B134" s="199"/>
      <c r="C134" s="207" t="s">
        <v>95</v>
      </c>
      <c r="E134" s="209">
        <v>220.92413183400004</v>
      </c>
      <c r="F134" s="209">
        <v>0</v>
      </c>
      <c r="G134" s="209">
        <v>131.67000000000002</v>
      </c>
      <c r="H134" s="209">
        <v>352.59413183400005</v>
      </c>
    </row>
    <row r="135" spans="1:8" s="207" customFormat="1" ht="15">
      <c r="A135" s="199"/>
      <c r="B135" s="199"/>
      <c r="C135" s="207" t="s">
        <v>144</v>
      </c>
      <c r="E135" s="209">
        <v>334.09</v>
      </c>
      <c r="F135" s="209">
        <v>0</v>
      </c>
      <c r="G135" s="209">
        <v>82.5</v>
      </c>
      <c r="H135" s="209">
        <v>416.59</v>
      </c>
    </row>
    <row r="136" spans="1:8" s="207" customFormat="1" ht="15">
      <c r="A136" s="199"/>
      <c r="B136" s="199"/>
      <c r="C136" s="207" t="s">
        <v>81</v>
      </c>
      <c r="E136" s="209"/>
      <c r="F136" s="209"/>
      <c r="G136" s="209">
        <v>4.917</v>
      </c>
      <c r="H136" s="209">
        <v>4.917</v>
      </c>
    </row>
    <row r="137" spans="1:8" s="207" customFormat="1" ht="15">
      <c r="A137" s="199"/>
      <c r="B137" s="201" t="s">
        <v>119</v>
      </c>
      <c r="C137" s="210"/>
      <c r="E137" s="209"/>
      <c r="F137" s="209"/>
      <c r="G137" s="209"/>
      <c r="H137" s="209"/>
    </row>
    <row r="138" spans="1:8" s="207" customFormat="1" ht="15">
      <c r="A138" s="199"/>
      <c r="B138" s="199"/>
      <c r="C138" s="207" t="s">
        <v>57</v>
      </c>
      <c r="E138" s="209">
        <v>156.173958746</v>
      </c>
      <c r="F138" s="209">
        <v>319.8</v>
      </c>
      <c r="G138" s="209">
        <v>99</v>
      </c>
      <c r="H138" s="209">
        <v>574.97</v>
      </c>
    </row>
    <row r="139" spans="1:8" s="207" customFormat="1" ht="15">
      <c r="A139" s="199"/>
      <c r="B139" s="199"/>
      <c r="C139" s="207" t="s">
        <v>144</v>
      </c>
      <c r="E139" s="209">
        <v>417.62</v>
      </c>
      <c r="F139" s="209">
        <v>0</v>
      </c>
      <c r="G139" s="209">
        <v>99</v>
      </c>
      <c r="H139" s="209">
        <v>516.62</v>
      </c>
    </row>
    <row r="140" spans="1:8" s="207" customFormat="1" ht="15">
      <c r="A140" s="199"/>
      <c r="B140" s="201" t="s">
        <v>114</v>
      </c>
      <c r="C140" s="210"/>
      <c r="E140" s="209"/>
      <c r="F140" s="209"/>
      <c r="G140" s="209"/>
      <c r="H140" s="209"/>
    </row>
    <row r="141" spans="1:8" s="207" customFormat="1" ht="15">
      <c r="A141" s="199"/>
      <c r="B141" s="199"/>
      <c r="C141" s="207" t="s">
        <v>57</v>
      </c>
      <c r="E141" s="209">
        <v>104.16803048358202</v>
      </c>
      <c r="F141" s="209">
        <v>78.59</v>
      </c>
      <c r="G141" s="209">
        <v>66.033</v>
      </c>
      <c r="H141" s="209">
        <v>248.79</v>
      </c>
    </row>
    <row r="142" spans="1:8" s="207" customFormat="1" ht="15">
      <c r="A142" s="199"/>
      <c r="B142" s="199"/>
      <c r="C142" s="207" t="s">
        <v>144</v>
      </c>
      <c r="E142" s="209">
        <v>167.05</v>
      </c>
      <c r="F142" s="209">
        <v>0</v>
      </c>
      <c r="G142" s="209">
        <v>41.28</v>
      </c>
      <c r="H142" s="209">
        <v>208.3</v>
      </c>
    </row>
    <row r="143" spans="1:8" s="207" customFormat="1" ht="15">
      <c r="A143" s="199"/>
      <c r="B143" s="201" t="s">
        <v>98</v>
      </c>
      <c r="C143" s="210"/>
      <c r="E143" s="209"/>
      <c r="F143" s="209"/>
      <c r="G143" s="209"/>
      <c r="H143" s="209"/>
    </row>
    <row r="144" spans="1:8" s="207" customFormat="1" ht="15">
      <c r="A144" s="199"/>
      <c r="B144" s="199"/>
      <c r="C144" s="207" t="s">
        <v>73</v>
      </c>
      <c r="E144" s="209">
        <v>350.02136299999995</v>
      </c>
      <c r="F144" s="209">
        <v>0</v>
      </c>
      <c r="G144" s="209">
        <v>71.28</v>
      </c>
      <c r="H144" s="209">
        <v>421.3013629999999</v>
      </c>
    </row>
    <row r="145" spans="1:8" s="207" customFormat="1" ht="15">
      <c r="A145" s="199"/>
      <c r="B145" s="199"/>
      <c r="C145" s="207" t="s">
        <v>140</v>
      </c>
      <c r="E145" s="209">
        <v>0</v>
      </c>
      <c r="F145" s="209">
        <v>10418.400000000001</v>
      </c>
      <c r="G145" s="209">
        <v>59.4</v>
      </c>
      <c r="H145" s="209">
        <v>10477.800000000001</v>
      </c>
    </row>
    <row r="146" spans="1:8" s="207" customFormat="1" ht="15">
      <c r="A146" s="199"/>
      <c r="B146" s="199"/>
      <c r="C146" s="207" t="s">
        <v>74</v>
      </c>
      <c r="E146" s="209">
        <v>166.91208500285217</v>
      </c>
      <c r="F146" s="209">
        <v>0</v>
      </c>
      <c r="G146" s="209">
        <v>142.56</v>
      </c>
      <c r="H146" s="209">
        <v>309.47208500285217</v>
      </c>
    </row>
    <row r="147" spans="1:8" s="207" customFormat="1" ht="15">
      <c r="A147" s="199"/>
      <c r="B147" s="199"/>
      <c r="C147" s="207" t="s">
        <v>75</v>
      </c>
      <c r="E147" s="209">
        <v>107.97586789186958</v>
      </c>
      <c r="F147" s="209">
        <v>0</v>
      </c>
      <c r="G147" s="209">
        <v>53.46</v>
      </c>
      <c r="H147" s="209">
        <v>161.43586789186958</v>
      </c>
    </row>
    <row r="148" spans="1:8" s="207" customFormat="1" ht="15">
      <c r="A148" s="199"/>
      <c r="B148" s="199"/>
      <c r="C148" s="207" t="s">
        <v>76</v>
      </c>
      <c r="E148" s="209">
        <v>26.33048028391304</v>
      </c>
      <c r="F148" s="209">
        <v>0</v>
      </c>
      <c r="G148" s="209">
        <v>17.82</v>
      </c>
      <c r="H148" s="209">
        <v>44.15048028391304</v>
      </c>
    </row>
    <row r="149" spans="1:8" s="207" customFormat="1" ht="15">
      <c r="A149" s="199"/>
      <c r="B149" s="199"/>
      <c r="C149" s="207" t="s">
        <v>95</v>
      </c>
      <c r="E149" s="209">
        <v>220.92413183400004</v>
      </c>
      <c r="F149" s="209">
        <v>0</v>
      </c>
      <c r="G149" s="209">
        <v>131.67000000000002</v>
      </c>
      <c r="H149" s="209">
        <v>352.59413183400005</v>
      </c>
    </row>
    <row r="150" spans="1:8" s="207" customFormat="1" ht="15">
      <c r="A150" s="199"/>
      <c r="B150" s="201" t="s">
        <v>90</v>
      </c>
      <c r="C150" s="210"/>
      <c r="E150" s="209"/>
      <c r="F150" s="209"/>
      <c r="G150" s="209"/>
      <c r="H150" s="209"/>
    </row>
    <row r="151" spans="1:8" s="207" customFormat="1" ht="15">
      <c r="A151" s="199"/>
      <c r="B151" s="199"/>
      <c r="C151" s="207" t="s">
        <v>51</v>
      </c>
      <c r="E151" s="209">
        <v>0</v>
      </c>
      <c r="F151" s="209">
        <v>400</v>
      </c>
      <c r="G151" s="209">
        <v>0</v>
      </c>
      <c r="H151" s="209">
        <v>400</v>
      </c>
    </row>
    <row r="152" spans="1:8" s="207" customFormat="1" ht="15">
      <c r="A152" s="199"/>
      <c r="B152" s="199"/>
      <c r="C152" s="207" t="s">
        <v>52</v>
      </c>
      <c r="E152" s="209">
        <v>0</v>
      </c>
      <c r="F152" s="209">
        <v>0</v>
      </c>
      <c r="G152" s="209">
        <v>0</v>
      </c>
      <c r="H152" s="209">
        <v>0</v>
      </c>
    </row>
    <row r="153" spans="1:8" s="207" customFormat="1" ht="15">
      <c r="A153" s="199"/>
      <c r="B153" s="75"/>
      <c r="C153" s="207" t="s">
        <v>53</v>
      </c>
      <c r="E153" s="209">
        <v>0</v>
      </c>
      <c r="F153" s="209">
        <v>0</v>
      </c>
      <c r="G153" s="209">
        <v>0</v>
      </c>
      <c r="H153" s="209">
        <v>0</v>
      </c>
    </row>
    <row r="154" spans="1:8" s="207" customFormat="1" ht="15">
      <c r="A154" s="199"/>
      <c r="B154" s="75"/>
      <c r="C154" s="207" t="s">
        <v>54</v>
      </c>
      <c r="E154" s="209">
        <v>0</v>
      </c>
      <c r="F154" s="209">
        <v>800</v>
      </c>
      <c r="G154" s="209">
        <v>0</v>
      </c>
      <c r="H154" s="209">
        <v>800</v>
      </c>
    </row>
    <row r="155" spans="1:8" s="207" customFormat="1" ht="15">
      <c r="A155" s="199"/>
      <c r="B155" s="75"/>
      <c r="C155" s="207" t="s">
        <v>55</v>
      </c>
      <c r="E155" s="209">
        <v>0</v>
      </c>
      <c r="F155" s="209">
        <v>560</v>
      </c>
      <c r="G155" s="209">
        <v>0</v>
      </c>
      <c r="H155" s="209">
        <v>560</v>
      </c>
    </row>
    <row r="156" spans="1:8" s="207" customFormat="1" ht="15">
      <c r="A156" s="199"/>
      <c r="B156" s="75"/>
      <c r="C156" s="207" t="s">
        <v>68</v>
      </c>
      <c r="E156" s="209"/>
      <c r="F156" s="209"/>
      <c r="G156" s="209"/>
      <c r="H156" s="209"/>
    </row>
    <row r="157" spans="1:8" s="207" customFormat="1" ht="15">
      <c r="A157" s="199"/>
      <c r="B157" s="75"/>
      <c r="C157" s="207" t="s">
        <v>69</v>
      </c>
      <c r="E157" s="209">
        <v>0</v>
      </c>
      <c r="F157" s="209">
        <v>168</v>
      </c>
      <c r="G157" s="209">
        <v>0</v>
      </c>
      <c r="H157" s="209">
        <v>168</v>
      </c>
    </row>
    <row r="158" spans="1:8" s="207" customFormat="1" ht="15">
      <c r="A158" s="199"/>
      <c r="B158" s="75"/>
      <c r="C158" s="207" t="s">
        <v>70</v>
      </c>
      <c r="E158" s="209">
        <v>0</v>
      </c>
      <c r="F158" s="209">
        <v>840</v>
      </c>
      <c r="G158" s="209">
        <v>0</v>
      </c>
      <c r="H158" s="209">
        <v>840</v>
      </c>
    </row>
    <row r="159" spans="3:8" ht="15">
      <c r="C159" s="74" t="s">
        <v>71</v>
      </c>
      <c r="E159" s="30">
        <v>0</v>
      </c>
      <c r="F159" s="30">
        <v>28</v>
      </c>
      <c r="G159" s="30">
        <v>0</v>
      </c>
      <c r="H159" s="30">
        <v>28</v>
      </c>
    </row>
    <row r="160" spans="3:8" ht="15">
      <c r="C160" s="74" t="s">
        <v>72</v>
      </c>
      <c r="E160" s="30">
        <v>0</v>
      </c>
      <c r="F160" s="30">
        <v>33.6</v>
      </c>
      <c r="G160" s="30">
        <v>0</v>
      </c>
      <c r="H160" s="30">
        <v>33.6</v>
      </c>
    </row>
    <row r="161" spans="3:8" ht="15">
      <c r="C161" s="74" t="s">
        <v>91</v>
      </c>
      <c r="E161" s="30">
        <v>624.1220784</v>
      </c>
      <c r="F161" s="30">
        <v>0</v>
      </c>
      <c r="G161" s="30">
        <v>396</v>
      </c>
      <c r="H161" s="30">
        <v>1020.1220784</v>
      </c>
    </row>
    <row r="162" spans="3:8" ht="15">
      <c r="C162" s="74" t="s">
        <v>56</v>
      </c>
      <c r="E162" s="30">
        <v>0</v>
      </c>
      <c r="F162" s="30">
        <v>0</v>
      </c>
      <c r="G162" s="30">
        <v>0</v>
      </c>
      <c r="H162" s="30">
        <v>0</v>
      </c>
    </row>
    <row r="163" spans="1:8" ht="15.75" thickBot="1">
      <c r="A163" s="213"/>
      <c r="B163" s="212" t="s">
        <v>109</v>
      </c>
      <c r="C163" s="213"/>
      <c r="D163" s="213"/>
      <c r="E163" s="214">
        <v>5350.71</v>
      </c>
      <c r="F163" s="214">
        <v>15777.23</v>
      </c>
      <c r="G163" s="214">
        <v>6101.73</v>
      </c>
      <c r="H163" s="214">
        <v>27229.67</v>
      </c>
    </row>
    <row r="164" spans="2:7" ht="15">
      <c r="B164" s="35"/>
      <c r="D164" s="41"/>
      <c r="E164" s="41"/>
      <c r="F164" s="41"/>
      <c r="G164" s="41"/>
    </row>
    <row r="165" spans="1:7" s="207" customFormat="1" ht="15">
      <c r="A165" s="210" t="s">
        <v>102</v>
      </c>
      <c r="D165" s="209"/>
      <c r="E165" s="209"/>
      <c r="F165" s="209"/>
      <c r="G165" s="209"/>
    </row>
    <row r="166" spans="1:7" s="207" customFormat="1" ht="15">
      <c r="A166" s="201"/>
      <c r="B166" s="210" t="s">
        <v>115</v>
      </c>
      <c r="D166" s="209"/>
      <c r="E166" s="209"/>
      <c r="F166" s="209"/>
      <c r="G166" s="209"/>
    </row>
    <row r="167" spans="2:8" s="207" customFormat="1" ht="15">
      <c r="B167" s="199"/>
      <c r="C167" s="207" t="s">
        <v>100</v>
      </c>
      <c r="E167" s="209">
        <v>159.66611114666668</v>
      </c>
      <c r="F167" s="209">
        <v>960</v>
      </c>
      <c r="G167" s="209">
        <v>198</v>
      </c>
      <c r="H167" s="209">
        <v>1317.6661111466667</v>
      </c>
    </row>
    <row r="168" spans="1:7" s="207" customFormat="1" ht="15">
      <c r="A168" s="201"/>
      <c r="B168" s="210" t="s">
        <v>88</v>
      </c>
      <c r="D168" s="209"/>
      <c r="E168" s="209"/>
      <c r="F168" s="209"/>
      <c r="G168" s="209"/>
    </row>
    <row r="169" spans="1:8" s="207" customFormat="1" ht="15">
      <c r="A169" s="211"/>
      <c r="B169" s="199"/>
      <c r="C169" s="207" t="s">
        <v>57</v>
      </c>
      <c r="E169" s="209">
        <v>156.173958746</v>
      </c>
      <c r="F169" s="209">
        <v>319.8</v>
      </c>
      <c r="G169" s="209">
        <v>99</v>
      </c>
      <c r="H169" s="209">
        <v>574.97</v>
      </c>
    </row>
    <row r="170" spans="1:8" s="207" customFormat="1" ht="15">
      <c r="A170" s="199"/>
      <c r="B170" s="201" t="s">
        <v>93</v>
      </c>
      <c r="C170" s="210"/>
      <c r="E170" s="209"/>
      <c r="F170" s="209"/>
      <c r="G170" s="209"/>
      <c r="H170" s="209"/>
    </row>
    <row r="171" spans="1:8" s="207" customFormat="1" ht="15">
      <c r="A171" s="201"/>
      <c r="B171" s="199"/>
      <c r="C171" s="207" t="s">
        <v>144</v>
      </c>
      <c r="E171" s="209">
        <v>334.09</v>
      </c>
      <c r="F171" s="209">
        <v>0</v>
      </c>
      <c r="G171" s="209">
        <v>82.5</v>
      </c>
      <c r="H171" s="209">
        <v>416.59</v>
      </c>
    </row>
    <row r="172" spans="1:8" s="207" customFormat="1" ht="15">
      <c r="A172" s="199"/>
      <c r="B172" s="199"/>
      <c r="C172" s="207" t="s">
        <v>502</v>
      </c>
      <c r="E172" s="209">
        <v>124.94</v>
      </c>
      <c r="F172" s="209">
        <v>312.3</v>
      </c>
      <c r="G172" s="209">
        <v>79.2</v>
      </c>
      <c r="H172" s="209">
        <v>516.44</v>
      </c>
    </row>
    <row r="173" spans="1:8" s="207" customFormat="1" ht="15">
      <c r="A173" s="199"/>
      <c r="B173" s="201" t="s">
        <v>94</v>
      </c>
      <c r="C173" s="210"/>
      <c r="E173" s="209"/>
      <c r="F173" s="209"/>
      <c r="G173" s="209"/>
      <c r="H173" s="209"/>
    </row>
    <row r="174" spans="1:8" s="207" customFormat="1" ht="15">
      <c r="A174" s="199"/>
      <c r="B174" s="199"/>
      <c r="C174" s="207" t="s">
        <v>100</v>
      </c>
      <c r="E174" s="209">
        <v>159.66611114666668</v>
      </c>
      <c r="F174" s="209">
        <v>152</v>
      </c>
      <c r="G174" s="209">
        <v>198</v>
      </c>
      <c r="H174" s="209">
        <v>509.6661111466667</v>
      </c>
    </row>
    <row r="175" spans="1:8" s="207" customFormat="1" ht="15">
      <c r="A175" s="199"/>
      <c r="B175" s="199"/>
      <c r="C175" s="207" t="s">
        <v>95</v>
      </c>
      <c r="E175" s="209">
        <v>220.92413183400004</v>
      </c>
      <c r="F175" s="209">
        <v>0</v>
      </c>
      <c r="G175" s="209">
        <v>131.67000000000002</v>
      </c>
      <c r="H175" s="209">
        <v>352.59413183400005</v>
      </c>
    </row>
    <row r="176" spans="1:8" s="207" customFormat="1" ht="15">
      <c r="A176" s="199"/>
      <c r="B176" s="199"/>
      <c r="C176" s="207" t="s">
        <v>144</v>
      </c>
      <c r="E176" s="209">
        <v>417.62</v>
      </c>
      <c r="F176" s="209">
        <v>0</v>
      </c>
      <c r="G176" s="209">
        <v>99</v>
      </c>
      <c r="H176" s="209">
        <v>516.62</v>
      </c>
    </row>
    <row r="177" spans="1:8" s="207" customFormat="1" ht="15">
      <c r="A177" s="199"/>
      <c r="B177" s="199"/>
      <c r="C177" s="207" t="s">
        <v>407</v>
      </c>
      <c r="E177" s="209">
        <v>62.47</v>
      </c>
      <c r="F177" s="209">
        <v>156.15</v>
      </c>
      <c r="G177" s="209">
        <v>39.6</v>
      </c>
      <c r="H177" s="209">
        <v>258.22</v>
      </c>
    </row>
    <row r="178" spans="1:8" s="207" customFormat="1" ht="15">
      <c r="A178" s="199"/>
      <c r="B178" s="201" t="s">
        <v>96</v>
      </c>
      <c r="C178" s="210"/>
      <c r="E178" s="209"/>
      <c r="F178" s="209"/>
      <c r="G178" s="209"/>
      <c r="H178" s="209"/>
    </row>
    <row r="179" spans="1:8" s="207" customFormat="1" ht="15">
      <c r="A179" s="199"/>
      <c r="B179" s="199"/>
      <c r="C179" s="207" t="s">
        <v>66</v>
      </c>
      <c r="E179" s="209">
        <v>0</v>
      </c>
      <c r="F179" s="209">
        <v>0</v>
      </c>
      <c r="G179" s="209">
        <v>3465</v>
      </c>
      <c r="H179" s="209">
        <v>3465</v>
      </c>
    </row>
    <row r="180" spans="1:8" s="207" customFormat="1" ht="15">
      <c r="A180" s="199"/>
      <c r="B180" s="199"/>
      <c r="C180" s="207" t="s">
        <v>95</v>
      </c>
      <c r="E180" s="209">
        <v>220.92413183400004</v>
      </c>
      <c r="F180" s="209">
        <v>0</v>
      </c>
      <c r="G180" s="209">
        <v>131.67000000000002</v>
      </c>
      <c r="H180" s="209">
        <v>352.59413183400005</v>
      </c>
    </row>
    <row r="181" spans="1:8" s="207" customFormat="1" ht="15">
      <c r="A181" s="199"/>
      <c r="B181" s="199"/>
      <c r="C181" s="207" t="s">
        <v>57</v>
      </c>
      <c r="E181" s="209">
        <v>104.16803048358202</v>
      </c>
      <c r="F181" s="209">
        <v>78.59</v>
      </c>
      <c r="G181" s="209">
        <v>66.033</v>
      </c>
      <c r="H181" s="209">
        <v>248.79</v>
      </c>
    </row>
    <row r="182" spans="1:8" s="207" customFormat="1" ht="15">
      <c r="A182" s="199"/>
      <c r="B182" s="199"/>
      <c r="C182" s="207" t="s">
        <v>144</v>
      </c>
      <c r="E182" s="209">
        <v>334.09</v>
      </c>
      <c r="F182" s="209">
        <v>0</v>
      </c>
      <c r="G182" s="209">
        <v>82.5</v>
      </c>
      <c r="H182" s="209">
        <v>416.59</v>
      </c>
    </row>
    <row r="183" spans="1:8" s="207" customFormat="1" ht="15">
      <c r="A183" s="199"/>
      <c r="B183" s="199"/>
      <c r="C183" s="207" t="s">
        <v>100</v>
      </c>
      <c r="E183" s="209">
        <v>159.66611114666668</v>
      </c>
      <c r="F183" s="209">
        <v>152</v>
      </c>
      <c r="G183" s="209">
        <v>198</v>
      </c>
      <c r="H183" s="209">
        <v>509.6661111466667</v>
      </c>
    </row>
    <row r="184" spans="1:8" s="207" customFormat="1" ht="15">
      <c r="A184" s="199"/>
      <c r="B184" s="201" t="s">
        <v>118</v>
      </c>
      <c r="C184" s="210"/>
      <c r="E184" s="209"/>
      <c r="F184" s="209"/>
      <c r="G184" s="209"/>
      <c r="H184" s="209"/>
    </row>
    <row r="185" spans="1:8" s="207" customFormat="1" ht="15">
      <c r="A185" s="199"/>
      <c r="B185" s="199"/>
      <c r="C185" s="207" t="s">
        <v>95</v>
      </c>
      <c r="E185" s="209">
        <v>220.92413183400004</v>
      </c>
      <c r="F185" s="209">
        <v>0</v>
      </c>
      <c r="G185" s="209">
        <v>131.67000000000002</v>
      </c>
      <c r="H185" s="209">
        <v>352.59413183400005</v>
      </c>
    </row>
    <row r="186" spans="1:8" s="207" customFormat="1" ht="15">
      <c r="A186" s="199"/>
      <c r="B186" s="199"/>
      <c r="C186" s="207" t="s">
        <v>144</v>
      </c>
      <c r="E186" s="209">
        <v>334.09</v>
      </c>
      <c r="F186" s="209">
        <v>0</v>
      </c>
      <c r="G186" s="209">
        <v>82.5</v>
      </c>
      <c r="H186" s="209">
        <v>416.59</v>
      </c>
    </row>
    <row r="187" spans="1:8" s="207" customFormat="1" ht="15">
      <c r="A187" s="199"/>
      <c r="B187" s="199"/>
      <c r="C187" s="207" t="s">
        <v>81</v>
      </c>
      <c r="E187" s="209"/>
      <c r="F187" s="209"/>
      <c r="G187" s="209">
        <v>4.917</v>
      </c>
      <c r="H187" s="209">
        <v>4.917</v>
      </c>
    </row>
    <row r="188" spans="1:8" s="207" customFormat="1" ht="15">
      <c r="A188" s="199"/>
      <c r="B188" s="201" t="s">
        <v>119</v>
      </c>
      <c r="C188" s="210"/>
      <c r="E188" s="209"/>
      <c r="F188" s="209"/>
      <c r="G188" s="209"/>
      <c r="H188" s="209"/>
    </row>
    <row r="189" spans="1:8" s="207" customFormat="1" ht="15">
      <c r="A189" s="199"/>
      <c r="B189" s="199"/>
      <c r="C189" s="207" t="s">
        <v>57</v>
      </c>
      <c r="E189" s="209">
        <v>156.173958746</v>
      </c>
      <c r="F189" s="209">
        <v>319.8</v>
      </c>
      <c r="G189" s="209">
        <v>99</v>
      </c>
      <c r="H189" s="209">
        <v>574.97</v>
      </c>
    </row>
    <row r="190" spans="1:8" s="207" customFormat="1" ht="15">
      <c r="A190" s="199"/>
      <c r="B190" s="199"/>
      <c r="C190" s="207" t="s">
        <v>144</v>
      </c>
      <c r="E190" s="209">
        <v>417.62</v>
      </c>
      <c r="F190" s="209">
        <v>0</v>
      </c>
      <c r="G190" s="209">
        <v>99</v>
      </c>
      <c r="H190" s="209">
        <v>516.62</v>
      </c>
    </row>
    <row r="191" spans="1:8" s="207" customFormat="1" ht="15">
      <c r="A191" s="199"/>
      <c r="B191" s="201" t="s">
        <v>114</v>
      </c>
      <c r="C191" s="210"/>
      <c r="E191" s="209"/>
      <c r="F191" s="209"/>
      <c r="G191" s="209"/>
      <c r="H191" s="209"/>
    </row>
    <row r="192" spans="1:8" s="207" customFormat="1" ht="15">
      <c r="A192" s="199"/>
      <c r="B192" s="199"/>
      <c r="C192" s="207" t="s">
        <v>57</v>
      </c>
      <c r="E192" s="209">
        <v>104.16803048358202</v>
      </c>
      <c r="F192" s="209">
        <v>78.59</v>
      </c>
      <c r="G192" s="209">
        <v>66.033</v>
      </c>
      <c r="H192" s="209">
        <v>248.79</v>
      </c>
    </row>
    <row r="193" spans="1:8" s="207" customFormat="1" ht="15">
      <c r="A193" s="199"/>
      <c r="B193" s="199"/>
      <c r="C193" s="207" t="s">
        <v>144</v>
      </c>
      <c r="E193" s="209">
        <v>166.49</v>
      </c>
      <c r="F193" s="209">
        <v>0</v>
      </c>
      <c r="G193" s="209">
        <v>41.25</v>
      </c>
      <c r="H193" s="209">
        <v>207.74</v>
      </c>
    </row>
    <row r="194" spans="1:8" s="207" customFormat="1" ht="15">
      <c r="A194" s="199"/>
      <c r="B194" s="201" t="s">
        <v>98</v>
      </c>
      <c r="C194" s="210"/>
      <c r="E194" s="209"/>
      <c r="F194" s="209"/>
      <c r="G194" s="209"/>
      <c r="H194" s="209"/>
    </row>
    <row r="195" spans="1:8" s="207" customFormat="1" ht="15">
      <c r="A195" s="199"/>
      <c r="B195" s="199"/>
      <c r="C195" s="207" t="s">
        <v>67</v>
      </c>
      <c r="E195" s="209">
        <v>1093.816759375</v>
      </c>
      <c r="F195" s="209">
        <v>0</v>
      </c>
      <c r="G195" s="209">
        <v>222.75</v>
      </c>
      <c r="H195" s="209">
        <v>1316.566759375</v>
      </c>
    </row>
    <row r="196" spans="1:8" s="207" customFormat="1" ht="15">
      <c r="A196" s="199"/>
      <c r="B196" s="199"/>
      <c r="C196" s="207" t="s">
        <v>140</v>
      </c>
      <c r="E196" s="209">
        <v>0</v>
      </c>
      <c r="F196" s="209">
        <v>26046</v>
      </c>
      <c r="G196" s="209">
        <v>185.625</v>
      </c>
      <c r="H196" s="209">
        <v>26231.625</v>
      </c>
    </row>
    <row r="197" spans="1:8" s="207" customFormat="1" ht="15">
      <c r="A197" s="199"/>
      <c r="B197" s="199"/>
      <c r="C197" s="207" t="s">
        <v>74</v>
      </c>
      <c r="E197" s="209">
        <v>521.6002656339131</v>
      </c>
      <c r="F197" s="209">
        <v>0</v>
      </c>
      <c r="G197" s="209">
        <v>445.5</v>
      </c>
      <c r="H197" s="209">
        <v>967.1002656339131</v>
      </c>
    </row>
    <row r="198" spans="1:8" s="207" customFormat="1" ht="15">
      <c r="A198" s="199"/>
      <c r="B198" s="199"/>
      <c r="C198" s="207" t="s">
        <v>75</v>
      </c>
      <c r="E198" s="209">
        <v>269.93966972967394</v>
      </c>
      <c r="F198" s="209">
        <v>0</v>
      </c>
      <c r="G198" s="209">
        <v>133.65</v>
      </c>
      <c r="H198" s="209">
        <v>403.5896697296739</v>
      </c>
    </row>
    <row r="199" spans="1:8" s="207" customFormat="1" ht="15">
      <c r="A199" s="199"/>
      <c r="B199" s="199"/>
      <c r="C199" s="207" t="s">
        <v>76</v>
      </c>
      <c r="E199" s="209">
        <v>65.8262007097826</v>
      </c>
      <c r="F199" s="209">
        <v>0</v>
      </c>
      <c r="G199" s="209">
        <v>44.55</v>
      </c>
      <c r="H199" s="209">
        <v>110.3762007097826</v>
      </c>
    </row>
    <row r="200" spans="1:8" s="207" customFormat="1" ht="15">
      <c r="A200" s="199"/>
      <c r="B200" s="199"/>
      <c r="C200" s="207" t="s">
        <v>95</v>
      </c>
      <c r="E200" s="209">
        <v>220.92413183400004</v>
      </c>
      <c r="F200" s="209">
        <v>0</v>
      </c>
      <c r="G200" s="209">
        <v>131.67000000000002</v>
      </c>
      <c r="H200" s="209">
        <v>352.59413183400005</v>
      </c>
    </row>
    <row r="201" spans="1:8" s="207" customFormat="1" ht="15">
      <c r="A201" s="199"/>
      <c r="B201" s="201" t="s">
        <v>90</v>
      </c>
      <c r="C201" s="210"/>
      <c r="E201" s="209"/>
      <c r="F201" s="209"/>
      <c r="G201" s="209"/>
      <c r="H201" s="209"/>
    </row>
    <row r="202" spans="1:8" s="207" customFormat="1" ht="15">
      <c r="A202" s="199"/>
      <c r="B202" s="199"/>
      <c r="C202" s="207" t="s">
        <v>51</v>
      </c>
      <c r="E202" s="209">
        <v>0</v>
      </c>
      <c r="F202" s="209">
        <v>440</v>
      </c>
      <c r="G202" s="209">
        <v>0</v>
      </c>
      <c r="H202" s="209">
        <v>440</v>
      </c>
    </row>
    <row r="203" spans="1:8" s="207" customFormat="1" ht="15">
      <c r="A203" s="199"/>
      <c r="B203" s="199"/>
      <c r="C203" s="207" t="s">
        <v>52</v>
      </c>
      <c r="E203" s="209">
        <v>0</v>
      </c>
      <c r="F203" s="209">
        <v>0</v>
      </c>
      <c r="G203" s="209">
        <v>0</v>
      </c>
      <c r="H203" s="209">
        <v>0</v>
      </c>
    </row>
    <row r="204" spans="1:8" s="207" customFormat="1" ht="15">
      <c r="A204" s="199"/>
      <c r="B204" s="199"/>
      <c r="C204" s="207" t="s">
        <v>53</v>
      </c>
      <c r="E204" s="209">
        <v>0</v>
      </c>
      <c r="F204" s="209">
        <v>0</v>
      </c>
      <c r="G204" s="209">
        <v>0</v>
      </c>
      <c r="H204" s="209">
        <v>0</v>
      </c>
    </row>
    <row r="205" spans="1:8" s="207" customFormat="1" ht="15">
      <c r="A205" s="199"/>
      <c r="B205" s="199"/>
      <c r="C205" s="207" t="s">
        <v>54</v>
      </c>
      <c r="E205" s="209">
        <v>0</v>
      </c>
      <c r="F205" s="209">
        <v>840</v>
      </c>
      <c r="G205" s="209">
        <v>0</v>
      </c>
      <c r="H205" s="209">
        <v>840</v>
      </c>
    </row>
    <row r="206" spans="1:8" ht="15">
      <c r="A206" s="199"/>
      <c r="B206" s="199"/>
      <c r="C206" s="74" t="s">
        <v>55</v>
      </c>
      <c r="E206" s="30">
        <v>0</v>
      </c>
      <c r="F206" s="30">
        <v>600</v>
      </c>
      <c r="G206" s="30">
        <v>0</v>
      </c>
      <c r="H206" s="30">
        <v>600</v>
      </c>
    </row>
    <row r="207" spans="1:8" ht="15">
      <c r="A207" s="199"/>
      <c r="B207" s="199"/>
      <c r="C207" s="74" t="s">
        <v>68</v>
      </c>
      <c r="E207" s="30"/>
      <c r="F207" s="30"/>
      <c r="G207" s="30"/>
      <c r="H207" s="30"/>
    </row>
    <row r="208" spans="1:8" ht="15">
      <c r="A208" s="199"/>
      <c r="C208" s="74" t="s">
        <v>69</v>
      </c>
      <c r="E208" s="30">
        <v>0</v>
      </c>
      <c r="F208" s="30">
        <v>210</v>
      </c>
      <c r="G208" s="30">
        <v>0</v>
      </c>
      <c r="H208" s="30">
        <v>210</v>
      </c>
    </row>
    <row r="209" spans="1:8" ht="15">
      <c r="A209" s="199"/>
      <c r="C209" s="74" t="s">
        <v>70</v>
      </c>
      <c r="E209" s="30">
        <v>0</v>
      </c>
      <c r="F209" s="30">
        <v>2100</v>
      </c>
      <c r="G209" s="30">
        <v>0</v>
      </c>
      <c r="H209" s="30">
        <v>2100</v>
      </c>
    </row>
    <row r="210" spans="1:8" ht="15">
      <c r="A210" s="199"/>
      <c r="C210" s="74" t="s">
        <v>71</v>
      </c>
      <c r="E210" s="30">
        <v>0</v>
      </c>
      <c r="F210" s="30">
        <v>70</v>
      </c>
      <c r="G210" s="30">
        <v>0</v>
      </c>
      <c r="H210" s="30">
        <v>70</v>
      </c>
    </row>
    <row r="211" spans="1:8" ht="15">
      <c r="A211" s="199"/>
      <c r="C211" s="74" t="s">
        <v>77</v>
      </c>
      <c r="E211" s="30">
        <v>0</v>
      </c>
      <c r="F211" s="30">
        <v>84</v>
      </c>
      <c r="G211" s="30">
        <v>0</v>
      </c>
      <c r="H211" s="30">
        <v>84</v>
      </c>
    </row>
    <row r="212" spans="1:8" ht="15">
      <c r="A212" s="199"/>
      <c r="C212" s="74" t="s">
        <v>91</v>
      </c>
      <c r="E212" s="30">
        <v>624.1220784</v>
      </c>
      <c r="F212" s="30">
        <v>0</v>
      </c>
      <c r="G212" s="30">
        <v>396</v>
      </c>
      <c r="H212" s="30">
        <v>1020.1220784</v>
      </c>
    </row>
    <row r="213" spans="1:8" ht="15">
      <c r="A213" s="199"/>
      <c r="C213" s="74" t="s">
        <v>56</v>
      </c>
      <c r="E213" s="30">
        <v>0</v>
      </c>
      <c r="F213" s="30">
        <v>0</v>
      </c>
      <c r="G213" s="30">
        <v>0</v>
      </c>
      <c r="H213" s="30">
        <v>0</v>
      </c>
    </row>
    <row r="214" spans="1:8" ht="15.75" thickBot="1">
      <c r="A214" s="205"/>
      <c r="B214" s="204" t="s">
        <v>110</v>
      </c>
      <c r="C214" s="212"/>
      <c r="D214" s="212"/>
      <c r="E214" s="214">
        <v>6650.09</v>
      </c>
      <c r="F214" s="214">
        <v>32919.23</v>
      </c>
      <c r="G214" s="214">
        <v>6954.29</v>
      </c>
      <c r="H214" s="214">
        <v>46523.61</v>
      </c>
    </row>
    <row r="215" spans="1:8" ht="15">
      <c r="A215" s="199"/>
      <c r="C215" s="35"/>
      <c r="E215" s="30"/>
      <c r="F215" s="30"/>
      <c r="G215" s="30"/>
      <c r="H215" s="30"/>
    </row>
    <row r="216" spans="1:8" s="207" customFormat="1" ht="15">
      <c r="A216" s="210" t="s">
        <v>111</v>
      </c>
      <c r="B216" s="199"/>
      <c r="E216" s="209"/>
      <c r="F216" s="209"/>
      <c r="G216" s="209"/>
      <c r="H216" s="209"/>
    </row>
    <row r="217" spans="1:8" s="207" customFormat="1" ht="15">
      <c r="A217" s="199"/>
      <c r="B217" s="201" t="s">
        <v>115</v>
      </c>
      <c r="C217" s="210"/>
      <c r="E217" s="209"/>
      <c r="F217" s="209"/>
      <c r="G217" s="209"/>
      <c r="H217" s="209"/>
    </row>
    <row r="218" spans="1:8" s="207" customFormat="1" ht="15">
      <c r="A218" s="199"/>
      <c r="B218" s="199"/>
      <c r="C218" s="207" t="s">
        <v>100</v>
      </c>
      <c r="E218" s="209">
        <v>159.66611114666668</v>
      </c>
      <c r="F218" s="209">
        <v>960</v>
      </c>
      <c r="G218" s="209">
        <v>198</v>
      </c>
      <c r="H218" s="209">
        <v>1317.6661111466667</v>
      </c>
    </row>
    <row r="219" spans="1:8" s="207" customFormat="1" ht="15">
      <c r="A219" s="199"/>
      <c r="B219" s="201" t="s">
        <v>88</v>
      </c>
      <c r="C219" s="210"/>
      <c r="E219" s="209"/>
      <c r="F219" s="209"/>
      <c r="G219" s="209"/>
      <c r="H219" s="209"/>
    </row>
    <row r="220" spans="1:8" s="207" customFormat="1" ht="15">
      <c r="A220" s="199"/>
      <c r="B220" s="199"/>
      <c r="C220" s="207" t="s">
        <v>57</v>
      </c>
      <c r="E220" s="209">
        <v>156.173958746</v>
      </c>
      <c r="F220" s="209">
        <v>319.8</v>
      </c>
      <c r="G220" s="209">
        <v>99</v>
      </c>
      <c r="H220" s="209">
        <v>574.97</v>
      </c>
    </row>
    <row r="221" spans="1:8" s="207" customFormat="1" ht="15">
      <c r="A221" s="199"/>
      <c r="B221" s="201" t="s">
        <v>93</v>
      </c>
      <c r="C221" s="210"/>
      <c r="E221" s="209"/>
      <c r="F221" s="209"/>
      <c r="G221" s="209"/>
      <c r="H221" s="209"/>
    </row>
    <row r="222" spans="1:8" s="207" customFormat="1" ht="15">
      <c r="A222" s="199"/>
      <c r="B222" s="199"/>
      <c r="C222" s="207" t="s">
        <v>144</v>
      </c>
      <c r="E222" s="209">
        <v>334.09</v>
      </c>
      <c r="F222" s="209">
        <v>0</v>
      </c>
      <c r="G222" s="209">
        <v>82.5</v>
      </c>
      <c r="H222" s="209">
        <v>416.59</v>
      </c>
    </row>
    <row r="223" spans="1:8" s="207" customFormat="1" ht="15">
      <c r="A223" s="199"/>
      <c r="B223" s="199"/>
      <c r="C223" s="207" t="s">
        <v>502</v>
      </c>
      <c r="E223" s="209">
        <v>124.94</v>
      </c>
      <c r="F223" s="209">
        <v>312.3</v>
      </c>
      <c r="G223" s="209">
        <v>79.2</v>
      </c>
      <c r="H223" s="209">
        <v>516.44</v>
      </c>
    </row>
    <row r="224" spans="1:8" s="207" customFormat="1" ht="15">
      <c r="A224" s="199"/>
      <c r="B224" s="201" t="s">
        <v>94</v>
      </c>
      <c r="C224" s="210"/>
      <c r="E224" s="209"/>
      <c r="F224" s="209"/>
      <c r="G224" s="209"/>
      <c r="H224" s="209"/>
    </row>
    <row r="225" spans="1:8" s="207" customFormat="1" ht="15">
      <c r="A225" s="211"/>
      <c r="B225" s="199"/>
      <c r="C225" s="207" t="s">
        <v>100</v>
      </c>
      <c r="E225" s="209">
        <v>159.66611114666668</v>
      </c>
      <c r="F225" s="209">
        <v>152</v>
      </c>
      <c r="G225" s="209">
        <v>198</v>
      </c>
      <c r="H225" s="209">
        <v>509.6661111466667</v>
      </c>
    </row>
    <row r="226" spans="1:8" s="207" customFormat="1" ht="15">
      <c r="A226" s="199"/>
      <c r="B226" s="199"/>
      <c r="C226" s="207" t="s">
        <v>95</v>
      </c>
      <c r="E226" s="209">
        <v>220.92413183400004</v>
      </c>
      <c r="F226" s="209">
        <v>0</v>
      </c>
      <c r="G226" s="209">
        <v>131.67000000000002</v>
      </c>
      <c r="H226" s="209">
        <v>352.59413183400005</v>
      </c>
    </row>
    <row r="227" spans="1:8" s="207" customFormat="1" ht="15">
      <c r="A227" s="201"/>
      <c r="B227" s="199"/>
      <c r="C227" s="207" t="s">
        <v>144</v>
      </c>
      <c r="E227" s="209">
        <v>417.62</v>
      </c>
      <c r="F227" s="209">
        <v>0</v>
      </c>
      <c r="G227" s="209">
        <v>99</v>
      </c>
      <c r="H227" s="209">
        <v>516.62</v>
      </c>
    </row>
    <row r="228" spans="1:8" s="207" customFormat="1" ht="15">
      <c r="A228" s="199"/>
      <c r="B228" s="199"/>
      <c r="C228" s="207" t="s">
        <v>407</v>
      </c>
      <c r="E228" s="209">
        <v>62.47</v>
      </c>
      <c r="F228" s="209">
        <v>156.15</v>
      </c>
      <c r="G228" s="209">
        <v>39.6</v>
      </c>
      <c r="H228" s="209">
        <v>258.22</v>
      </c>
    </row>
    <row r="229" spans="1:8" s="207" customFormat="1" ht="15">
      <c r="A229" s="199"/>
      <c r="B229" s="201" t="s">
        <v>96</v>
      </c>
      <c r="C229" s="210"/>
      <c r="E229" s="209"/>
      <c r="F229" s="209"/>
      <c r="G229" s="209"/>
      <c r="H229" s="209"/>
    </row>
    <row r="230" spans="1:8" s="207" customFormat="1" ht="15">
      <c r="A230" s="199"/>
      <c r="B230" s="199"/>
      <c r="C230" s="207" t="s">
        <v>66</v>
      </c>
      <c r="E230" s="209">
        <v>0</v>
      </c>
      <c r="F230" s="209">
        <v>0</v>
      </c>
      <c r="G230" s="209">
        <v>3547.5</v>
      </c>
      <c r="H230" s="209">
        <v>3547.5</v>
      </c>
    </row>
    <row r="231" spans="1:8" s="207" customFormat="1" ht="15">
      <c r="A231" s="199"/>
      <c r="B231" s="199"/>
      <c r="C231" s="207" t="s">
        <v>95</v>
      </c>
      <c r="E231" s="209">
        <v>220.92413183400004</v>
      </c>
      <c r="F231" s="209">
        <v>0</v>
      </c>
      <c r="G231" s="209">
        <v>131.67000000000002</v>
      </c>
      <c r="H231" s="209">
        <v>352.59413183400005</v>
      </c>
    </row>
    <row r="232" spans="1:8" s="207" customFormat="1" ht="15">
      <c r="A232" s="199"/>
      <c r="B232" s="199"/>
      <c r="C232" s="207" t="s">
        <v>57</v>
      </c>
      <c r="E232" s="209">
        <v>104.16803048358202</v>
      </c>
      <c r="F232" s="209">
        <v>78.59</v>
      </c>
      <c r="G232" s="209">
        <v>66.033</v>
      </c>
      <c r="H232" s="209">
        <v>248.79</v>
      </c>
    </row>
    <row r="233" spans="1:8" s="207" customFormat="1" ht="15">
      <c r="A233" s="199"/>
      <c r="B233" s="199"/>
      <c r="C233" s="207" t="s">
        <v>144</v>
      </c>
      <c r="E233" s="209">
        <v>334.09</v>
      </c>
      <c r="F233" s="209">
        <v>0</v>
      </c>
      <c r="G233" s="209">
        <v>82.5</v>
      </c>
      <c r="H233" s="209">
        <v>416.59</v>
      </c>
    </row>
    <row r="234" spans="1:8" s="207" customFormat="1" ht="15">
      <c r="A234" s="199"/>
      <c r="B234" s="199"/>
      <c r="C234" s="207" t="s">
        <v>100</v>
      </c>
      <c r="E234" s="209">
        <v>159.66611114666668</v>
      </c>
      <c r="F234" s="209">
        <v>5.7</v>
      </c>
      <c r="G234" s="209">
        <v>198</v>
      </c>
      <c r="H234" s="209">
        <v>363.36611114666664</v>
      </c>
    </row>
    <row r="235" spans="1:8" s="207" customFormat="1" ht="15">
      <c r="A235" s="199"/>
      <c r="B235" s="201" t="s">
        <v>118</v>
      </c>
      <c r="C235" s="210"/>
      <c r="E235" s="209"/>
      <c r="F235" s="209"/>
      <c r="G235" s="209"/>
      <c r="H235" s="209"/>
    </row>
    <row r="236" spans="1:8" s="207" customFormat="1" ht="15">
      <c r="A236" s="199"/>
      <c r="B236" s="199"/>
      <c r="C236" s="207" t="s">
        <v>95</v>
      </c>
      <c r="E236" s="209">
        <v>220.92413183400004</v>
      </c>
      <c r="F236" s="209">
        <v>0</v>
      </c>
      <c r="G236" s="209">
        <v>131.67000000000002</v>
      </c>
      <c r="H236" s="209">
        <v>352.59413183400005</v>
      </c>
    </row>
    <row r="237" spans="1:8" s="207" customFormat="1" ht="15">
      <c r="A237" s="199"/>
      <c r="B237" s="199"/>
      <c r="C237" s="207" t="s">
        <v>81</v>
      </c>
      <c r="E237" s="209">
        <v>0</v>
      </c>
      <c r="F237" s="209">
        <v>0</v>
      </c>
      <c r="G237" s="209">
        <v>4.917</v>
      </c>
      <c r="H237" s="209">
        <v>4.917</v>
      </c>
    </row>
    <row r="238" spans="1:8" s="207" customFormat="1" ht="15">
      <c r="A238" s="199"/>
      <c r="B238" s="199"/>
      <c r="C238" s="207" t="s">
        <v>144</v>
      </c>
      <c r="E238" s="209">
        <v>334.09</v>
      </c>
      <c r="F238" s="209">
        <v>0</v>
      </c>
      <c r="G238" s="209">
        <v>82.5</v>
      </c>
      <c r="H238" s="209">
        <v>416.59</v>
      </c>
    </row>
    <row r="239" spans="1:8" s="207" customFormat="1" ht="15">
      <c r="A239" s="199"/>
      <c r="B239" s="201" t="s">
        <v>119</v>
      </c>
      <c r="C239" s="210"/>
      <c r="E239" s="209"/>
      <c r="F239" s="209"/>
      <c r="G239" s="209"/>
      <c r="H239" s="209"/>
    </row>
    <row r="240" spans="1:8" s="207" customFormat="1" ht="15">
      <c r="A240" s="199"/>
      <c r="B240" s="199"/>
      <c r="C240" s="207" t="s">
        <v>57</v>
      </c>
      <c r="E240" s="209">
        <v>156.173958746</v>
      </c>
      <c r="F240" s="209">
        <v>319.8</v>
      </c>
      <c r="G240" s="209">
        <v>99</v>
      </c>
      <c r="H240" s="209">
        <v>574.97</v>
      </c>
    </row>
    <row r="241" spans="1:8" s="207" customFormat="1" ht="15">
      <c r="A241" s="199"/>
      <c r="B241" s="199"/>
      <c r="C241" s="207" t="s">
        <v>144</v>
      </c>
      <c r="E241" s="209">
        <v>417.62</v>
      </c>
      <c r="F241" s="209">
        <v>0</v>
      </c>
      <c r="G241" s="209">
        <v>99</v>
      </c>
      <c r="H241" s="209">
        <v>516.62</v>
      </c>
    </row>
    <row r="242" spans="1:8" s="207" customFormat="1" ht="15">
      <c r="A242" s="199"/>
      <c r="B242" s="201" t="s">
        <v>114</v>
      </c>
      <c r="C242" s="210"/>
      <c r="E242" s="209"/>
      <c r="F242" s="209"/>
      <c r="G242" s="209"/>
      <c r="H242" s="209"/>
    </row>
    <row r="243" spans="1:8" s="207" customFormat="1" ht="15">
      <c r="A243" s="199"/>
      <c r="B243" s="199"/>
      <c r="C243" s="207" t="s">
        <v>57</v>
      </c>
      <c r="E243" s="209">
        <v>104.16803048358202</v>
      </c>
      <c r="F243" s="209">
        <v>78.59</v>
      </c>
      <c r="G243" s="209">
        <v>66.033</v>
      </c>
      <c r="H243" s="209">
        <v>248.79</v>
      </c>
    </row>
    <row r="244" spans="1:8" s="207" customFormat="1" ht="15">
      <c r="A244" s="199"/>
      <c r="B244" s="199"/>
      <c r="C244" s="207" t="s">
        <v>144</v>
      </c>
      <c r="E244" s="209">
        <v>167.05</v>
      </c>
      <c r="F244" s="209">
        <v>0</v>
      </c>
      <c r="G244" s="209">
        <v>41.25</v>
      </c>
      <c r="H244" s="209">
        <v>208.3</v>
      </c>
    </row>
    <row r="245" spans="1:8" s="207" customFormat="1" ht="15">
      <c r="A245" s="199"/>
      <c r="B245" s="201" t="s">
        <v>98</v>
      </c>
      <c r="C245" s="210"/>
      <c r="E245" s="209"/>
      <c r="F245" s="209"/>
      <c r="G245" s="209"/>
      <c r="H245" s="209"/>
    </row>
    <row r="246" spans="1:8" s="207" customFormat="1" ht="15">
      <c r="A246" s="199"/>
      <c r="B246" s="199"/>
      <c r="C246" s="207" t="s">
        <v>82</v>
      </c>
      <c r="E246" s="209">
        <v>525.0320445</v>
      </c>
      <c r="F246" s="209">
        <v>0</v>
      </c>
      <c r="G246" s="209">
        <v>106.92</v>
      </c>
      <c r="H246" s="209">
        <v>631.9520444999999</v>
      </c>
    </row>
    <row r="247" spans="1:8" s="207" customFormat="1" ht="15">
      <c r="A247" s="199"/>
      <c r="B247" s="199"/>
      <c r="C247" s="207" t="s">
        <v>140</v>
      </c>
      <c r="E247" s="209">
        <v>0</v>
      </c>
      <c r="F247" s="209">
        <v>15627.599999999999</v>
      </c>
      <c r="G247" s="209">
        <v>89.10000000000001</v>
      </c>
      <c r="H247" s="209">
        <v>15716.699999999999</v>
      </c>
    </row>
    <row r="248" spans="1:8" s="207" customFormat="1" ht="15">
      <c r="A248" s="199"/>
      <c r="B248" s="199"/>
      <c r="C248" s="207" t="s">
        <v>74</v>
      </c>
      <c r="E248" s="209">
        <v>250.36812750427828</v>
      </c>
      <c r="F248" s="209">
        <v>0</v>
      </c>
      <c r="G248" s="209">
        <v>213.84</v>
      </c>
      <c r="H248" s="209">
        <v>464.2081275042783</v>
      </c>
    </row>
    <row r="249" spans="1:8" s="207" customFormat="1" ht="15">
      <c r="A249" s="199"/>
      <c r="B249" s="199"/>
      <c r="C249" s="207" t="s">
        <v>75</v>
      </c>
      <c r="E249" s="209">
        <v>161.96380183780434</v>
      </c>
      <c r="F249" s="209">
        <v>0</v>
      </c>
      <c r="G249" s="209">
        <v>80.19</v>
      </c>
      <c r="H249" s="209">
        <v>242.15380183780434</v>
      </c>
    </row>
    <row r="250" spans="1:8" s="207" customFormat="1" ht="15">
      <c r="A250" s="199"/>
      <c r="B250" s="199"/>
      <c r="C250" s="207" t="s">
        <v>76</v>
      </c>
      <c r="E250" s="209">
        <v>39.495720425869564</v>
      </c>
      <c r="F250" s="209">
        <v>0</v>
      </c>
      <c r="G250" s="209">
        <v>26.73</v>
      </c>
      <c r="H250" s="209">
        <v>66.22572042586957</v>
      </c>
    </row>
    <row r="251" spans="1:8" s="207" customFormat="1" ht="15">
      <c r="A251" s="199"/>
      <c r="B251" s="199"/>
      <c r="C251" s="207" t="s">
        <v>95</v>
      </c>
      <c r="E251" s="209">
        <v>220.92413183400004</v>
      </c>
      <c r="F251" s="209">
        <v>0</v>
      </c>
      <c r="G251" s="209">
        <v>131.67000000000002</v>
      </c>
      <c r="H251" s="209">
        <v>352.59413183400005</v>
      </c>
    </row>
    <row r="252" spans="1:8" s="207" customFormat="1" ht="15">
      <c r="A252" s="199"/>
      <c r="B252" s="201" t="s">
        <v>90</v>
      </c>
      <c r="C252" s="210"/>
      <c r="E252" s="209"/>
      <c r="F252" s="209"/>
      <c r="G252" s="209"/>
      <c r="H252" s="209"/>
    </row>
    <row r="253" spans="1:8" s="207" customFormat="1" ht="15">
      <c r="A253" s="199"/>
      <c r="B253" s="199"/>
      <c r="C253" s="207" t="s">
        <v>51</v>
      </c>
      <c r="E253" s="209">
        <v>0</v>
      </c>
      <c r="F253" s="209">
        <v>480</v>
      </c>
      <c r="G253" s="209">
        <v>0</v>
      </c>
      <c r="H253" s="209">
        <v>480</v>
      </c>
    </row>
    <row r="254" spans="1:8" s="207" customFormat="1" ht="15">
      <c r="A254" s="199"/>
      <c r="B254" s="199"/>
      <c r="C254" s="207" t="s">
        <v>52</v>
      </c>
      <c r="E254" s="209">
        <v>0</v>
      </c>
      <c r="F254" s="209">
        <v>0</v>
      </c>
      <c r="G254" s="209">
        <v>0</v>
      </c>
      <c r="H254" s="209">
        <v>0</v>
      </c>
    </row>
    <row r="255" spans="1:8" s="207" customFormat="1" ht="15">
      <c r="A255" s="199"/>
      <c r="B255" s="199"/>
      <c r="C255" s="207" t="s">
        <v>53</v>
      </c>
      <c r="E255" s="209">
        <v>0</v>
      </c>
      <c r="F255" s="209">
        <v>0</v>
      </c>
      <c r="G255" s="209">
        <v>0</v>
      </c>
      <c r="H255" s="209">
        <v>0</v>
      </c>
    </row>
    <row r="256" spans="1:8" s="207" customFormat="1" ht="15">
      <c r="A256" s="199"/>
      <c r="B256" s="199"/>
      <c r="C256" s="207" t="s">
        <v>54</v>
      </c>
      <c r="E256" s="209">
        <v>0</v>
      </c>
      <c r="F256" s="209">
        <v>840</v>
      </c>
      <c r="G256" s="209">
        <v>0</v>
      </c>
      <c r="H256" s="209">
        <v>840</v>
      </c>
    </row>
    <row r="257" spans="1:8" s="207" customFormat="1" ht="15">
      <c r="A257" s="199"/>
      <c r="B257" s="199"/>
      <c r="C257" s="207" t="s">
        <v>55</v>
      </c>
      <c r="E257" s="209">
        <v>0</v>
      </c>
      <c r="F257" s="209">
        <v>600</v>
      </c>
      <c r="G257" s="209">
        <v>0</v>
      </c>
      <c r="H257" s="209">
        <v>600</v>
      </c>
    </row>
    <row r="258" spans="1:8" s="207" customFormat="1" ht="15">
      <c r="A258" s="199"/>
      <c r="B258" s="199"/>
      <c r="C258" s="207" t="s">
        <v>68</v>
      </c>
      <c r="E258" s="209"/>
      <c r="F258" s="209"/>
      <c r="G258" s="209"/>
      <c r="H258" s="209"/>
    </row>
    <row r="259" spans="1:8" s="207" customFormat="1" ht="15">
      <c r="A259" s="199"/>
      <c r="B259" s="75"/>
      <c r="C259" s="207" t="s">
        <v>69</v>
      </c>
      <c r="E259" s="209">
        <v>0</v>
      </c>
      <c r="F259" s="209">
        <v>252</v>
      </c>
      <c r="G259" s="209">
        <v>0</v>
      </c>
      <c r="H259" s="209">
        <v>252</v>
      </c>
    </row>
    <row r="260" spans="1:8" s="207" customFormat="1" ht="15">
      <c r="A260" s="199"/>
      <c r="B260" s="75"/>
      <c r="C260" s="207" t="s">
        <v>70</v>
      </c>
      <c r="E260" s="209">
        <v>0</v>
      </c>
      <c r="F260" s="209">
        <v>1260</v>
      </c>
      <c r="G260" s="209">
        <v>0</v>
      </c>
      <c r="H260" s="209">
        <v>1260</v>
      </c>
    </row>
    <row r="261" spans="1:8" s="207" customFormat="1" ht="15">
      <c r="A261" s="199"/>
      <c r="B261" s="75"/>
      <c r="C261" s="207" t="s">
        <v>71</v>
      </c>
      <c r="E261" s="209">
        <v>0</v>
      </c>
      <c r="F261" s="209">
        <v>42</v>
      </c>
      <c r="G261" s="209">
        <v>0</v>
      </c>
      <c r="H261" s="209">
        <v>42</v>
      </c>
    </row>
    <row r="262" spans="1:8" ht="15">
      <c r="A262" s="199"/>
      <c r="C262" s="74" t="s">
        <v>72</v>
      </c>
      <c r="E262" s="30">
        <v>0</v>
      </c>
      <c r="F262" s="30">
        <v>50.4</v>
      </c>
      <c r="G262" s="30">
        <v>0</v>
      </c>
      <c r="H262" s="30">
        <v>50.4</v>
      </c>
    </row>
    <row r="263" spans="1:8" ht="15">
      <c r="A263" s="199"/>
      <c r="C263" s="74" t="s">
        <v>91</v>
      </c>
      <c r="E263" s="30">
        <v>624.1220784</v>
      </c>
      <c r="F263" s="30">
        <v>0</v>
      </c>
      <c r="G263" s="30">
        <v>396</v>
      </c>
      <c r="H263" s="30">
        <v>1020.1220784</v>
      </c>
    </row>
    <row r="264" spans="1:8" ht="15">
      <c r="A264" s="199"/>
      <c r="C264" s="74" t="s">
        <v>56</v>
      </c>
      <c r="E264" s="30">
        <v>0</v>
      </c>
      <c r="F264" s="30">
        <v>0</v>
      </c>
      <c r="G264" s="30">
        <v>0</v>
      </c>
      <c r="H264" s="30">
        <v>0</v>
      </c>
    </row>
    <row r="265" spans="1:8" ht="15.75" thickBot="1">
      <c r="A265" s="205"/>
      <c r="B265" s="204" t="s">
        <v>112</v>
      </c>
      <c r="C265" s="212"/>
      <c r="D265" s="212"/>
      <c r="E265" s="214">
        <v>5676.33</v>
      </c>
      <c r="F265" s="214">
        <v>21531.76</v>
      </c>
      <c r="G265" s="214">
        <v>6521.49</v>
      </c>
      <c r="H265" s="214">
        <v>33729.58</v>
      </c>
    </row>
    <row r="266" ht="15">
      <c r="A266" s="199"/>
    </row>
    <row r="267" ht="15">
      <c r="A267" s="199"/>
    </row>
    <row r="268" ht="15">
      <c r="A268" s="199"/>
    </row>
    <row r="269" ht="15">
      <c r="A269" s="199"/>
    </row>
    <row r="270" ht="15">
      <c r="A270" s="199"/>
    </row>
    <row r="271" ht="15">
      <c r="A271" s="199"/>
    </row>
    <row r="272" ht="15">
      <c r="A272" s="199"/>
    </row>
    <row r="273" ht="15">
      <c r="A273" s="199"/>
    </row>
    <row r="274" ht="15">
      <c r="A274" s="199"/>
    </row>
    <row r="281" ht="15">
      <c r="A281" s="211"/>
    </row>
  </sheetData>
  <sheetProtection password="96BD" sheet="1"/>
  <mergeCells count="5">
    <mergeCell ref="C1:H1"/>
    <mergeCell ref="C2:H2"/>
    <mergeCell ref="C5:D5"/>
    <mergeCell ref="C8:D8"/>
    <mergeCell ref="A8:B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B1:H45"/>
  <sheetViews>
    <sheetView zoomScalePageLayoutView="0" workbookViewId="0" topLeftCell="A13">
      <selection activeCell="E52" sqref="E52"/>
    </sheetView>
  </sheetViews>
  <sheetFormatPr defaultColWidth="9.140625" defaultRowHeight="15"/>
  <cols>
    <col min="2" max="2" width="15.7109375" style="0" customWidth="1"/>
    <col min="3" max="3" width="14.7109375" style="0" customWidth="1"/>
    <col min="4" max="5" width="12.7109375" style="0" customWidth="1"/>
    <col min="6" max="6" width="10.7109375" style="0" customWidth="1"/>
    <col min="7" max="7" width="12.7109375" style="0" customWidth="1"/>
  </cols>
  <sheetData>
    <row r="1" spans="2:8" ht="15">
      <c r="B1" s="225" t="s">
        <v>121</v>
      </c>
      <c r="C1" s="225"/>
      <c r="D1" s="225"/>
      <c r="E1" s="225"/>
      <c r="F1" s="225"/>
      <c r="G1" s="225"/>
      <c r="H1" s="45"/>
    </row>
    <row r="2" spans="2:8" ht="15">
      <c r="B2" s="225" t="s">
        <v>123</v>
      </c>
      <c r="C2" s="225"/>
      <c r="D2" s="225"/>
      <c r="E2" s="225"/>
      <c r="F2" s="225"/>
      <c r="G2" s="225"/>
      <c r="H2" s="45"/>
    </row>
    <row r="3" spans="2:8" ht="15.75" thickBot="1">
      <c r="B3" s="45"/>
      <c r="C3" s="45"/>
      <c r="D3" s="45"/>
      <c r="E3" s="45"/>
      <c r="F3" s="45"/>
      <c r="G3" s="45"/>
      <c r="H3" s="45"/>
    </row>
    <row r="4" spans="6:7" ht="15">
      <c r="F4" s="5"/>
      <c r="G4" s="33" t="s">
        <v>106</v>
      </c>
    </row>
    <row r="5" spans="2:7" ht="15">
      <c r="B5" t="s">
        <v>0</v>
      </c>
      <c r="D5" s="46">
        <v>500</v>
      </c>
      <c r="F5" s="3" t="s">
        <v>1</v>
      </c>
      <c r="G5" s="29" t="s">
        <v>105</v>
      </c>
    </row>
    <row r="6" spans="2:7" ht="15">
      <c r="B6" t="s">
        <v>3</v>
      </c>
      <c r="D6" s="47">
        <v>20</v>
      </c>
      <c r="E6" s="3"/>
      <c r="F6" s="32" t="s">
        <v>104</v>
      </c>
      <c r="G6" s="32" t="s">
        <v>103</v>
      </c>
    </row>
    <row r="7" spans="2:7" ht="15">
      <c r="B7" t="s">
        <v>5</v>
      </c>
      <c r="D7" s="48">
        <v>0.1</v>
      </c>
      <c r="E7" s="3"/>
      <c r="F7" s="3" t="s">
        <v>16</v>
      </c>
      <c r="G7" s="4">
        <v>0.2</v>
      </c>
    </row>
    <row r="8" spans="2:7" ht="15">
      <c r="B8" t="s">
        <v>6</v>
      </c>
      <c r="D8" s="46">
        <f>D5*D6</f>
        <v>10000</v>
      </c>
      <c r="F8" s="3" t="s">
        <v>2</v>
      </c>
      <c r="G8" s="4">
        <v>0.5</v>
      </c>
    </row>
    <row r="9" spans="2:7" ht="15.75" thickBot="1">
      <c r="B9" t="s">
        <v>7</v>
      </c>
      <c r="D9" s="46">
        <f>D8*(1-D7)</f>
        <v>9000</v>
      </c>
      <c r="F9" s="8" t="s">
        <v>4</v>
      </c>
      <c r="G9" s="21">
        <v>0.3</v>
      </c>
    </row>
    <row r="10" ht="15">
      <c r="D10" s="2"/>
    </row>
    <row r="11" spans="2:4" ht="15.75" thickBot="1">
      <c r="B11" s="35" t="s">
        <v>122</v>
      </c>
      <c r="D11" s="2"/>
    </row>
    <row r="12" spans="2:7" ht="15.75" thickBot="1">
      <c r="B12" s="5"/>
      <c r="C12" s="44" t="s">
        <v>10</v>
      </c>
      <c r="D12" s="44" t="s">
        <v>11</v>
      </c>
      <c r="E12" s="6" t="s">
        <v>8</v>
      </c>
      <c r="F12" s="233" t="s">
        <v>120</v>
      </c>
      <c r="G12" s="233"/>
    </row>
    <row r="13" spans="2:7" ht="15.75" thickBot="1">
      <c r="B13" s="7" t="s">
        <v>9</v>
      </c>
      <c r="C13" s="8" t="s">
        <v>83</v>
      </c>
      <c r="D13" s="8" t="s">
        <v>83</v>
      </c>
      <c r="E13" s="8" t="s">
        <v>12</v>
      </c>
      <c r="F13" s="8" t="s">
        <v>10</v>
      </c>
      <c r="G13" s="8" t="s">
        <v>11</v>
      </c>
    </row>
    <row r="14" spans="2:7" ht="15">
      <c r="B14" t="s">
        <v>13</v>
      </c>
      <c r="C14" s="9">
        <v>154157.1199398106</v>
      </c>
      <c r="D14" s="9">
        <v>154157.1199398106</v>
      </c>
      <c r="E14" s="2">
        <v>9000</v>
      </c>
      <c r="F14" s="53">
        <v>17.128568882201176</v>
      </c>
      <c r="G14" s="53">
        <v>17.128568882201176</v>
      </c>
    </row>
    <row r="15" spans="2:7" ht="15">
      <c r="B15" t="s">
        <v>14</v>
      </c>
      <c r="C15" s="9">
        <v>27850.43313091837</v>
      </c>
      <c r="D15" s="9">
        <v>182007.55307072896</v>
      </c>
      <c r="E15" s="2">
        <v>9000</v>
      </c>
      <c r="F15" s="53">
        <v>3.094492570102041</v>
      </c>
      <c r="G15" s="53">
        <v>20.223061452303217</v>
      </c>
    </row>
    <row r="16" spans="2:7" ht="15">
      <c r="B16" t="s">
        <v>15</v>
      </c>
      <c r="C16" s="9">
        <v>14690.964176392781</v>
      </c>
      <c r="D16" s="9">
        <v>196698.51724712175</v>
      </c>
      <c r="E16" s="2">
        <v>9000</v>
      </c>
      <c r="F16" s="53">
        <v>1.6323293529325313</v>
      </c>
      <c r="G16" s="53">
        <v>21.855390805235746</v>
      </c>
    </row>
    <row r="17" spans="2:7" ht="15">
      <c r="B17" t="s">
        <v>16</v>
      </c>
      <c r="C17" s="9">
        <v>27229.668044309</v>
      </c>
      <c r="D17" s="9">
        <v>223928.18529143074</v>
      </c>
      <c r="E17" s="2">
        <v>9000</v>
      </c>
      <c r="F17" s="53">
        <v>3.025518671589889</v>
      </c>
      <c r="G17" s="54">
        <v>24.880909476825636</v>
      </c>
    </row>
    <row r="18" spans="2:7" ht="15">
      <c r="B18" t="s">
        <v>2</v>
      </c>
      <c r="C18" s="9">
        <v>46523.605584412064</v>
      </c>
      <c r="D18" s="9">
        <v>270451.7908758428</v>
      </c>
      <c r="E18" s="2">
        <v>7200</v>
      </c>
      <c r="F18" s="53">
        <v>6.461611886723897</v>
      </c>
      <c r="G18" s="54">
        <v>31.342521363549533</v>
      </c>
    </row>
    <row r="19" spans="2:7" ht="15.75" thickBot="1">
      <c r="B19" t="s">
        <v>4</v>
      </c>
      <c r="C19" s="11">
        <v>33729.57874239832</v>
      </c>
      <c r="D19" s="34">
        <v>304181.3696182411</v>
      </c>
      <c r="E19" s="2">
        <v>2700</v>
      </c>
      <c r="F19" s="53">
        <v>12.492436571258636</v>
      </c>
      <c r="G19" s="54">
        <v>43.83495793480817</v>
      </c>
    </row>
    <row r="20" spans="2:7" ht="15">
      <c r="B20" s="23" t="s">
        <v>17</v>
      </c>
      <c r="C20" s="36">
        <v>304181.3696182411</v>
      </c>
      <c r="D20" s="23"/>
      <c r="E20" s="29">
        <v>0</v>
      </c>
      <c r="F20" s="40"/>
      <c r="G20" s="40"/>
    </row>
    <row r="21" spans="2:7" ht="15.75" thickBot="1">
      <c r="B21" s="37" t="s">
        <v>18</v>
      </c>
      <c r="C21" s="7"/>
      <c r="D21" s="7"/>
      <c r="E21" s="70"/>
      <c r="F21" s="55"/>
      <c r="G21" s="56">
        <f>C20/D9</f>
        <v>33.79792995758234</v>
      </c>
    </row>
    <row r="22" ht="15.75" thickBot="1">
      <c r="D22" s="10"/>
    </row>
    <row r="23" spans="2:7" ht="15">
      <c r="B23" s="1" t="s">
        <v>19</v>
      </c>
      <c r="C23" s="6" t="s">
        <v>1</v>
      </c>
      <c r="D23" s="5"/>
      <c r="E23" s="12" t="s">
        <v>20</v>
      </c>
      <c r="F23" s="6" t="s">
        <v>21</v>
      </c>
      <c r="G23" s="5"/>
    </row>
    <row r="24" spans="3:7" ht="15.75" thickBot="1">
      <c r="C24" s="8" t="s">
        <v>9</v>
      </c>
      <c r="D24" s="7"/>
      <c r="E24" s="8" t="s">
        <v>22</v>
      </c>
      <c r="F24" s="8" t="s">
        <v>23</v>
      </c>
      <c r="G24" s="8" t="s">
        <v>24</v>
      </c>
    </row>
    <row r="25" spans="3:7" ht="15">
      <c r="C25" s="3" t="s">
        <v>16</v>
      </c>
      <c r="E25" s="2">
        <f>D9*G7</f>
        <v>1800</v>
      </c>
      <c r="F25" s="19">
        <f>G17</f>
        <v>24.880909476825636</v>
      </c>
      <c r="G25" s="9">
        <f>E25*F25</f>
        <v>44785.63705828614</v>
      </c>
    </row>
    <row r="26" spans="3:7" ht="15">
      <c r="C26" s="3" t="s">
        <v>2</v>
      </c>
      <c r="E26" s="2">
        <f>D9*G8</f>
        <v>4500</v>
      </c>
      <c r="F26" s="19">
        <f>G18</f>
        <v>31.342521363549533</v>
      </c>
      <c r="G26" s="9">
        <f>E26*F26</f>
        <v>141041.3461359729</v>
      </c>
    </row>
    <row r="27" spans="3:7" ht="15.75" thickBot="1">
      <c r="C27" s="3" t="s">
        <v>4</v>
      </c>
      <c r="E27" s="13">
        <f>D9*G9</f>
        <v>2700</v>
      </c>
      <c r="F27" s="19">
        <f>G19</f>
        <v>43.83495793480817</v>
      </c>
      <c r="G27" s="11">
        <f>E27*F27</f>
        <v>118354.38642398207</v>
      </c>
    </row>
    <row r="28" spans="3:7" ht="15.75" thickBot="1">
      <c r="C28" s="14" t="s">
        <v>17</v>
      </c>
      <c r="D28" s="15"/>
      <c r="E28" s="16">
        <f>SUM(E25:E27)</f>
        <v>9000</v>
      </c>
      <c r="F28" s="25"/>
      <c r="G28" s="17">
        <f>SUM(G25:G27)</f>
        <v>304181.3696182411</v>
      </c>
    </row>
    <row r="29" ht="15">
      <c r="F29" s="9"/>
    </row>
    <row r="30" spans="3:7" ht="15.75" thickBot="1">
      <c r="C30" s="7" t="s">
        <v>18</v>
      </c>
      <c r="D30" s="7"/>
      <c r="E30" s="13">
        <f>SUM(E25:E27)</f>
        <v>9000</v>
      </c>
      <c r="F30" s="24">
        <f>G21</f>
        <v>33.79792995758234</v>
      </c>
      <c r="G30" s="18">
        <f>E30*F30</f>
        <v>304181.36961824103</v>
      </c>
    </row>
    <row r="32" ht="15.75" thickBot="1">
      <c r="B32" s="1" t="s">
        <v>25</v>
      </c>
    </row>
    <row r="33" spans="2:7" ht="15">
      <c r="B33" s="5"/>
      <c r="C33" s="6" t="s">
        <v>1</v>
      </c>
      <c r="D33" s="6"/>
      <c r="E33" s="6"/>
      <c r="F33" s="6" t="s">
        <v>26</v>
      </c>
      <c r="G33" s="6" t="s">
        <v>27</v>
      </c>
    </row>
    <row r="34" spans="2:7" ht="15.75" thickBot="1">
      <c r="B34" s="8" t="s">
        <v>9</v>
      </c>
      <c r="C34" s="8" t="s">
        <v>28</v>
      </c>
      <c r="D34" s="8" t="s">
        <v>8</v>
      </c>
      <c r="E34" s="8" t="s">
        <v>29</v>
      </c>
      <c r="F34" s="8" t="s">
        <v>30</v>
      </c>
      <c r="G34" s="8" t="s">
        <v>31</v>
      </c>
    </row>
    <row r="35" spans="2:7" ht="15">
      <c r="B35" s="3" t="s">
        <v>16</v>
      </c>
      <c r="C35" s="4">
        <f>G7</f>
        <v>0.2</v>
      </c>
      <c r="D35" s="2">
        <f>C35*D9</f>
        <v>1800</v>
      </c>
      <c r="E35" s="3" t="s">
        <v>78</v>
      </c>
      <c r="F35" s="19">
        <v>80</v>
      </c>
      <c r="G35" s="20">
        <f>D35*F35</f>
        <v>144000</v>
      </c>
    </row>
    <row r="36" spans="2:7" ht="15">
      <c r="B36" s="3" t="s">
        <v>2</v>
      </c>
      <c r="C36" s="4">
        <f>G8</f>
        <v>0.5</v>
      </c>
      <c r="D36" s="2">
        <f>C36*D9</f>
        <v>4500</v>
      </c>
      <c r="E36" s="3" t="s">
        <v>79</v>
      </c>
      <c r="F36" s="19">
        <v>150</v>
      </c>
      <c r="G36" s="20">
        <f>D36*F36</f>
        <v>675000</v>
      </c>
    </row>
    <row r="37" spans="2:7" ht="15">
      <c r="B37" s="3" t="s">
        <v>4</v>
      </c>
      <c r="C37" s="26">
        <f>G9</f>
        <v>0.3</v>
      </c>
      <c r="D37" s="27">
        <f>C37*D9</f>
        <v>2700</v>
      </c>
      <c r="E37" s="3" t="s">
        <v>80</v>
      </c>
      <c r="F37" s="19">
        <v>200</v>
      </c>
      <c r="G37" s="65">
        <f>D37*F37</f>
        <v>540000</v>
      </c>
    </row>
    <row r="38" spans="2:7" ht="15.75" thickBot="1">
      <c r="B38" s="8" t="s">
        <v>17</v>
      </c>
      <c r="C38" s="21">
        <f>SUM(C35:C37)</f>
        <v>1</v>
      </c>
      <c r="D38" s="13">
        <f>SUM(D35:D37)</f>
        <v>9000</v>
      </c>
      <c r="E38" s="8"/>
      <c r="F38" s="8"/>
      <c r="G38" s="22">
        <f>SUM(G35:G37)</f>
        <v>1359000</v>
      </c>
    </row>
    <row r="40" spans="2:6" ht="15.75" thickBot="1">
      <c r="B40" s="42" t="s">
        <v>92</v>
      </c>
      <c r="C40" s="42"/>
      <c r="D40" s="42"/>
      <c r="E40" s="42"/>
      <c r="F40" s="43"/>
    </row>
    <row r="41" spans="2:6" s="60" customFormat="1" ht="15">
      <c r="B41" s="42"/>
      <c r="C41" s="61"/>
      <c r="D41" s="234" t="s">
        <v>25</v>
      </c>
      <c r="E41" s="234"/>
      <c r="F41" s="234"/>
    </row>
    <row r="42" spans="3:6" ht="15.75" thickBot="1">
      <c r="C42" s="23"/>
      <c r="D42" s="8" t="s">
        <v>32</v>
      </c>
      <c r="E42" s="8" t="s">
        <v>33</v>
      </c>
      <c r="F42" s="8" t="s">
        <v>141</v>
      </c>
    </row>
    <row r="43" spans="3:6" ht="15">
      <c r="C43" s="23" t="s">
        <v>34</v>
      </c>
      <c r="D43" s="28">
        <f>G38</f>
        <v>1359000</v>
      </c>
      <c r="E43" s="28">
        <f>D43/D6</f>
        <v>67950</v>
      </c>
      <c r="F43" s="19">
        <f>D43/D9</f>
        <v>151</v>
      </c>
    </row>
    <row r="44" spans="3:6" ht="15">
      <c r="C44" t="s">
        <v>35</v>
      </c>
      <c r="D44" s="62">
        <f>G30</f>
        <v>304181.36961824103</v>
      </c>
      <c r="E44" s="62">
        <f>D44/D6</f>
        <v>15209.068480912052</v>
      </c>
      <c r="F44" s="62">
        <f>D44/D9</f>
        <v>33.79792995758234</v>
      </c>
    </row>
    <row r="45" spans="3:6" ht="15.75" thickBot="1">
      <c r="C45" s="7" t="s">
        <v>36</v>
      </c>
      <c r="D45" s="63">
        <f>D43-D44</f>
        <v>1054818.630381759</v>
      </c>
      <c r="E45" s="63">
        <f>E43-E44</f>
        <v>52740.93151908795</v>
      </c>
      <c r="F45" s="64">
        <f>D45/D9</f>
        <v>117.20207004241767</v>
      </c>
    </row>
  </sheetData>
  <sheetProtection sheet="1"/>
  <mergeCells count="4">
    <mergeCell ref="F12:G12"/>
    <mergeCell ref="B1:G1"/>
    <mergeCell ref="B2:G2"/>
    <mergeCell ref="D41:F41"/>
  </mergeCells>
  <printOptions/>
  <pageMargins left="0.7" right="0.7" top="0.75" bottom="0.75" header="0.3" footer="0.3"/>
  <pageSetup horizontalDpi="200" verticalDpi="200" orientation="portrait" r:id="rId1"/>
</worksheet>
</file>

<file path=xl/worksheets/sheet5.xml><?xml version="1.0" encoding="utf-8"?>
<worksheet xmlns="http://schemas.openxmlformats.org/spreadsheetml/2006/main" xmlns:r="http://schemas.openxmlformats.org/officeDocument/2006/relationships">
  <sheetPr>
    <tabColor rgb="FF00CC00"/>
  </sheetPr>
  <dimension ref="A1:I293"/>
  <sheetViews>
    <sheetView zoomScale="110" zoomScaleNormal="110" zoomScalePageLayoutView="0" workbookViewId="0" topLeftCell="A169">
      <selection activeCell="D219" sqref="D219"/>
    </sheetView>
  </sheetViews>
  <sheetFormatPr defaultColWidth="9.140625" defaultRowHeight="15"/>
  <cols>
    <col min="1" max="1" width="5.8515625" style="75" customWidth="1"/>
    <col min="2" max="2" width="9.57421875" style="75" customWidth="1"/>
    <col min="3" max="3" width="44.00390625" style="75" bestFit="1" customWidth="1"/>
    <col min="4" max="7" width="12.7109375" style="75" customWidth="1"/>
    <col min="8" max="8" width="11.140625" style="75" bestFit="1" customWidth="1"/>
    <col min="9" max="9" width="16.7109375" style="75" bestFit="1" customWidth="1"/>
    <col min="10" max="16384" width="9.140625" style="75" customWidth="1"/>
  </cols>
  <sheetData>
    <row r="1" spans="3:7" ht="15">
      <c r="C1" s="236" t="s">
        <v>546</v>
      </c>
      <c r="D1" s="236"/>
      <c r="E1" s="236"/>
      <c r="F1" s="236"/>
      <c r="G1" s="236"/>
    </row>
    <row r="2" spans="3:9" ht="15.75">
      <c r="C2" s="237" t="s">
        <v>124</v>
      </c>
      <c r="D2" s="237"/>
      <c r="E2" s="237"/>
      <c r="F2" s="237"/>
      <c r="G2" s="237"/>
      <c r="I2" s="81" t="s">
        <v>409</v>
      </c>
    </row>
    <row r="3" ht="15.75">
      <c r="I3" s="81" t="s">
        <v>410</v>
      </c>
    </row>
    <row r="4" spans="1:9" ht="16.5" thickBot="1">
      <c r="A4" s="113"/>
      <c r="B4" s="113"/>
      <c r="E4" s="75" t="s">
        <v>20</v>
      </c>
      <c r="I4" s="81" t="s">
        <v>411</v>
      </c>
    </row>
    <row r="5" spans="1:7" ht="15">
      <c r="A5" s="77"/>
      <c r="B5" s="77"/>
      <c r="C5" s="215"/>
      <c r="D5" s="222" t="s">
        <v>37</v>
      </c>
      <c r="E5" s="222" t="s">
        <v>38</v>
      </c>
      <c r="F5" s="222" t="s">
        <v>39</v>
      </c>
      <c r="G5" s="222" t="s">
        <v>40</v>
      </c>
    </row>
    <row r="6" spans="1:7" ht="15.75" thickBot="1">
      <c r="A6" s="216" t="s">
        <v>9</v>
      </c>
      <c r="B6" s="216" t="s">
        <v>545</v>
      </c>
      <c r="C6" s="216" t="s">
        <v>85</v>
      </c>
      <c r="D6" s="223" t="s">
        <v>41</v>
      </c>
      <c r="E6" s="223" t="s">
        <v>41</v>
      </c>
      <c r="F6" s="223" t="s">
        <v>41</v>
      </c>
      <c r="G6" s="223" t="s">
        <v>83</v>
      </c>
    </row>
    <row r="7" spans="1:3" s="199" customFormat="1" ht="15">
      <c r="A7" s="235" t="s">
        <v>13</v>
      </c>
      <c r="B7" s="235"/>
      <c r="C7" s="217"/>
    </row>
    <row r="8" spans="1:3" s="199" customFormat="1" ht="15">
      <c r="A8" s="217"/>
      <c r="B8" s="218" t="s">
        <v>84</v>
      </c>
      <c r="C8" s="217"/>
    </row>
    <row r="9" spans="1:7" ht="15">
      <c r="A9" s="77"/>
      <c r="B9" s="77"/>
      <c r="C9" s="77" t="s">
        <v>405</v>
      </c>
      <c r="D9" s="76">
        <v>0</v>
      </c>
      <c r="E9" s="76">
        <v>0</v>
      </c>
      <c r="F9" s="76">
        <v>0</v>
      </c>
      <c r="G9" s="85">
        <f aca="true" t="shared" si="0" ref="G9:G26">SUM(D9:F9)</f>
        <v>0</v>
      </c>
    </row>
    <row r="10" spans="1:7" ht="15">
      <c r="A10" s="77"/>
      <c r="B10" s="77"/>
      <c r="C10" s="77" t="s">
        <v>404</v>
      </c>
      <c r="D10" s="76">
        <v>0</v>
      </c>
      <c r="E10" s="76">
        <v>0</v>
      </c>
      <c r="F10" s="76">
        <v>0</v>
      </c>
      <c r="G10" s="85">
        <f t="shared" si="0"/>
        <v>0</v>
      </c>
    </row>
    <row r="11" spans="1:7" ht="15">
      <c r="A11" s="77"/>
      <c r="B11" s="77"/>
      <c r="C11" s="77" t="s">
        <v>44</v>
      </c>
      <c r="D11" s="76">
        <v>0</v>
      </c>
      <c r="E11" s="76">
        <v>0</v>
      </c>
      <c r="F11" s="76">
        <v>0</v>
      </c>
      <c r="G11" s="85">
        <f t="shared" si="0"/>
        <v>0</v>
      </c>
    </row>
    <row r="12" spans="1:7" ht="15">
      <c r="A12" s="77"/>
      <c r="B12" s="77"/>
      <c r="C12" s="77" t="s">
        <v>45</v>
      </c>
      <c r="D12" s="76">
        <v>0</v>
      </c>
      <c r="E12" s="76">
        <v>0</v>
      </c>
      <c r="F12" s="76">
        <v>0</v>
      </c>
      <c r="G12" s="85">
        <f t="shared" si="0"/>
        <v>0</v>
      </c>
    </row>
    <row r="13" spans="1:7" ht="15">
      <c r="A13" s="77"/>
      <c r="B13" s="77"/>
      <c r="C13" s="77" t="s">
        <v>46</v>
      </c>
      <c r="D13" s="76">
        <v>0</v>
      </c>
      <c r="E13" s="76">
        <v>0</v>
      </c>
      <c r="F13" s="76">
        <v>0</v>
      </c>
      <c r="G13" s="85">
        <f t="shared" si="0"/>
        <v>0</v>
      </c>
    </row>
    <row r="14" spans="1:7" ht="15">
      <c r="A14" s="77"/>
      <c r="B14" s="77"/>
      <c r="C14" s="77" t="s">
        <v>403</v>
      </c>
      <c r="D14" s="76">
        <v>0</v>
      </c>
      <c r="E14" s="76">
        <v>0</v>
      </c>
      <c r="F14" s="76">
        <v>0</v>
      </c>
      <c r="G14" s="85">
        <f t="shared" si="0"/>
        <v>0</v>
      </c>
    </row>
    <row r="15" spans="1:7" ht="15">
      <c r="A15" s="77"/>
      <c r="B15" s="77"/>
      <c r="C15" s="77" t="s">
        <v>48</v>
      </c>
      <c r="D15" s="76">
        <v>0</v>
      </c>
      <c r="E15" s="76">
        <v>0</v>
      </c>
      <c r="F15" s="76">
        <v>0</v>
      </c>
      <c r="G15" s="85">
        <f t="shared" si="0"/>
        <v>0</v>
      </c>
    </row>
    <row r="16" spans="1:7" ht="15">
      <c r="A16" s="77"/>
      <c r="B16" s="77"/>
      <c r="C16" s="77" t="s">
        <v>100</v>
      </c>
      <c r="D16" s="76">
        <v>0</v>
      </c>
      <c r="E16" s="76">
        <v>0</v>
      </c>
      <c r="F16" s="76">
        <v>0</v>
      </c>
      <c r="G16" s="85">
        <f t="shared" si="0"/>
        <v>0</v>
      </c>
    </row>
    <row r="17" spans="1:7" ht="15">
      <c r="A17" s="77"/>
      <c r="B17" s="77"/>
      <c r="C17" s="77" t="s">
        <v>49</v>
      </c>
      <c r="D17" s="76">
        <v>0</v>
      </c>
      <c r="E17" s="76">
        <v>0</v>
      </c>
      <c r="F17" s="76">
        <v>0</v>
      </c>
      <c r="G17" s="85">
        <f t="shared" si="0"/>
        <v>0</v>
      </c>
    </row>
    <row r="18" spans="1:7" s="199" customFormat="1" ht="15">
      <c r="A18" s="217"/>
      <c r="B18" s="219" t="s">
        <v>116</v>
      </c>
      <c r="C18" s="217"/>
      <c r="D18" s="202"/>
      <c r="E18" s="202"/>
      <c r="F18" s="202"/>
      <c r="G18" s="202"/>
    </row>
    <row r="19" spans="1:7" s="199" customFormat="1" ht="15">
      <c r="A19" s="217"/>
      <c r="B19" s="217"/>
      <c r="C19" s="217" t="s">
        <v>50</v>
      </c>
      <c r="D19" s="202">
        <v>0</v>
      </c>
      <c r="E19" s="202">
        <v>0</v>
      </c>
      <c r="F19" s="202">
        <v>0</v>
      </c>
      <c r="G19" s="203">
        <f t="shared" si="0"/>
        <v>0</v>
      </c>
    </row>
    <row r="20" spans="1:7" s="199" customFormat="1" ht="15">
      <c r="A20" s="217"/>
      <c r="B20" s="219" t="s">
        <v>90</v>
      </c>
      <c r="C20" s="217"/>
      <c r="D20" s="202"/>
      <c r="E20" s="202"/>
      <c r="F20" s="202"/>
      <c r="G20" s="202"/>
    </row>
    <row r="21" spans="1:7" s="199" customFormat="1" ht="15">
      <c r="A21" s="217"/>
      <c r="B21" s="217"/>
      <c r="C21" s="217" t="s">
        <v>51</v>
      </c>
      <c r="D21" s="202">
        <v>0</v>
      </c>
      <c r="E21" s="202">
        <v>0</v>
      </c>
      <c r="F21" s="202">
        <v>0</v>
      </c>
      <c r="G21" s="203">
        <f t="shared" si="0"/>
        <v>0</v>
      </c>
    </row>
    <row r="22" spans="1:7" s="199" customFormat="1" ht="15">
      <c r="A22" s="217"/>
      <c r="B22" s="217"/>
      <c r="C22" s="217" t="s">
        <v>52</v>
      </c>
      <c r="D22" s="202">
        <v>0</v>
      </c>
      <c r="E22" s="202">
        <v>0</v>
      </c>
      <c r="F22" s="202">
        <v>0</v>
      </c>
      <c r="G22" s="203">
        <f t="shared" si="0"/>
        <v>0</v>
      </c>
    </row>
    <row r="23" spans="1:7" s="199" customFormat="1" ht="15">
      <c r="A23" s="217"/>
      <c r="B23" s="217"/>
      <c r="C23" s="217" t="s">
        <v>53</v>
      </c>
      <c r="D23" s="202">
        <v>0</v>
      </c>
      <c r="E23" s="202">
        <v>0</v>
      </c>
      <c r="F23" s="202">
        <v>0</v>
      </c>
      <c r="G23" s="203">
        <f t="shared" si="0"/>
        <v>0</v>
      </c>
    </row>
    <row r="24" spans="1:7" ht="15">
      <c r="A24" s="77"/>
      <c r="B24" s="77"/>
      <c r="C24" s="77" t="s">
        <v>54</v>
      </c>
      <c r="D24" s="202">
        <v>0</v>
      </c>
      <c r="E24" s="202">
        <v>0</v>
      </c>
      <c r="F24" s="202">
        <v>0</v>
      </c>
      <c r="G24" s="85">
        <f t="shared" si="0"/>
        <v>0</v>
      </c>
    </row>
    <row r="25" spans="1:7" ht="15">
      <c r="A25" s="77"/>
      <c r="B25" s="77"/>
      <c r="C25" s="77" t="s">
        <v>55</v>
      </c>
      <c r="D25" s="202">
        <v>0</v>
      </c>
      <c r="E25" s="202">
        <v>0</v>
      </c>
      <c r="F25" s="202">
        <v>0</v>
      </c>
      <c r="G25" s="85">
        <f t="shared" si="0"/>
        <v>0</v>
      </c>
    </row>
    <row r="26" spans="1:7" ht="15">
      <c r="A26" s="77"/>
      <c r="B26" s="77"/>
      <c r="C26" s="77" t="s">
        <v>91</v>
      </c>
      <c r="D26" s="202">
        <v>0</v>
      </c>
      <c r="E26" s="202">
        <v>0</v>
      </c>
      <c r="F26" s="202">
        <v>0</v>
      </c>
      <c r="G26" s="85">
        <f t="shared" si="0"/>
        <v>0</v>
      </c>
    </row>
    <row r="27" spans="1:7" ht="15">
      <c r="A27" s="77"/>
      <c r="B27" s="77"/>
      <c r="C27" s="77" t="s">
        <v>56</v>
      </c>
      <c r="D27" s="202">
        <v>0</v>
      </c>
      <c r="E27" s="202">
        <v>0</v>
      </c>
      <c r="F27" s="202">
        <v>0</v>
      </c>
      <c r="G27" s="85">
        <f>SUM(D27:F27)</f>
        <v>0</v>
      </c>
    </row>
    <row r="28" spans="1:8" ht="15.75" thickBot="1">
      <c r="A28" s="220"/>
      <c r="B28" s="221" t="s">
        <v>113</v>
      </c>
      <c r="C28" s="220"/>
      <c r="D28" s="206">
        <f>SUM(D9:D17,D19,D21:D27)</f>
        <v>0</v>
      </c>
      <c r="E28" s="206">
        <f>SUM(E9:E17,E19,E21:E27)</f>
        <v>0</v>
      </c>
      <c r="F28" s="206">
        <f>SUM(F9:F17,F19,F21:F27)</f>
        <v>0</v>
      </c>
      <c r="G28" s="206">
        <f>SUM(G9:G17,G19,G21:G27)</f>
        <v>0</v>
      </c>
      <c r="H28" s="79"/>
    </row>
    <row r="29" spans="1:7" ht="15">
      <c r="A29" s="77"/>
      <c r="B29" s="77"/>
      <c r="C29" s="101"/>
      <c r="D29" s="76"/>
      <c r="E29" s="76"/>
      <c r="F29" s="76"/>
      <c r="G29" s="76"/>
    </row>
    <row r="30" spans="1:7" s="199" customFormat="1" ht="15">
      <c r="A30" s="219" t="s">
        <v>87</v>
      </c>
      <c r="B30" s="217"/>
      <c r="C30" s="217"/>
      <c r="D30" s="202"/>
      <c r="E30" s="202"/>
      <c r="F30" s="202"/>
      <c r="G30" s="202"/>
    </row>
    <row r="31" spans="1:7" s="199" customFormat="1" ht="15">
      <c r="A31" s="217"/>
      <c r="B31" s="219" t="s">
        <v>115</v>
      </c>
      <c r="C31" s="217"/>
      <c r="D31" s="202"/>
      <c r="E31" s="202"/>
      <c r="F31" s="202"/>
      <c r="G31" s="202"/>
    </row>
    <row r="32" spans="1:7" s="199" customFormat="1" ht="15">
      <c r="A32" s="217"/>
      <c r="B32" s="217"/>
      <c r="C32" s="217" t="s">
        <v>95</v>
      </c>
      <c r="D32" s="202">
        <v>0</v>
      </c>
      <c r="E32" s="202">
        <v>0</v>
      </c>
      <c r="F32" s="202">
        <v>0</v>
      </c>
      <c r="G32" s="203">
        <f>SUM(D32:F32)</f>
        <v>0</v>
      </c>
    </row>
    <row r="33" spans="1:7" s="199" customFormat="1" ht="15">
      <c r="A33" s="217"/>
      <c r="B33" s="217"/>
      <c r="C33" s="217" t="s">
        <v>504</v>
      </c>
      <c r="D33" s="202">
        <v>0</v>
      </c>
      <c r="E33" s="202">
        <v>0</v>
      </c>
      <c r="F33" s="202">
        <v>0</v>
      </c>
      <c r="G33" s="203">
        <f>SUM(D33:F33)</f>
        <v>0</v>
      </c>
    </row>
    <row r="34" spans="1:7" s="199" customFormat="1" ht="15">
      <c r="A34" s="217"/>
      <c r="B34" s="219" t="s">
        <v>503</v>
      </c>
      <c r="C34" s="217"/>
      <c r="D34" s="202"/>
      <c r="E34" s="202"/>
      <c r="F34" s="202"/>
      <c r="G34" s="203"/>
    </row>
    <row r="35" spans="1:7" s="199" customFormat="1" ht="15">
      <c r="A35" s="217"/>
      <c r="B35" s="217"/>
      <c r="C35" s="217" t="s">
        <v>95</v>
      </c>
      <c r="D35" s="202">
        <v>0</v>
      </c>
      <c r="E35" s="202">
        <v>0</v>
      </c>
      <c r="F35" s="202">
        <v>0</v>
      </c>
      <c r="G35" s="203">
        <f>SUM(D35:F35)</f>
        <v>0</v>
      </c>
    </row>
    <row r="36" spans="1:7" s="199" customFormat="1" ht="15">
      <c r="A36" s="217"/>
      <c r="B36" s="217"/>
      <c r="C36" s="217" t="s">
        <v>504</v>
      </c>
      <c r="D36" s="202">
        <v>0</v>
      </c>
      <c r="E36" s="202">
        <v>0</v>
      </c>
      <c r="F36" s="202">
        <v>0</v>
      </c>
      <c r="G36" s="203">
        <f>SUM(D36:F36)</f>
        <v>0</v>
      </c>
    </row>
    <row r="37" spans="1:7" s="199" customFormat="1" ht="15">
      <c r="A37" s="217"/>
      <c r="B37" s="219" t="s">
        <v>89</v>
      </c>
      <c r="C37" s="217"/>
      <c r="D37" s="202"/>
      <c r="E37" s="202"/>
      <c r="F37" s="202"/>
      <c r="G37" s="203"/>
    </row>
    <row r="38" spans="1:7" s="199" customFormat="1" ht="15">
      <c r="A38" s="217"/>
      <c r="B38" s="217"/>
      <c r="C38" s="217" t="s">
        <v>57</v>
      </c>
      <c r="D38" s="202">
        <v>0</v>
      </c>
      <c r="E38" s="202">
        <v>0</v>
      </c>
      <c r="F38" s="202">
        <v>0</v>
      </c>
      <c r="G38" s="203">
        <f>SUM(D38:F38)</f>
        <v>0</v>
      </c>
    </row>
    <row r="39" spans="1:7" s="199" customFormat="1" ht="15">
      <c r="A39" s="217"/>
      <c r="B39" s="217"/>
      <c r="C39" s="217" t="s">
        <v>58</v>
      </c>
      <c r="D39" s="202">
        <v>0</v>
      </c>
      <c r="E39" s="202">
        <v>0</v>
      </c>
      <c r="F39" s="202">
        <v>0</v>
      </c>
      <c r="G39" s="203">
        <f aca="true" t="shared" si="1" ref="G39:G80">SUM(D39:F39)</f>
        <v>0</v>
      </c>
    </row>
    <row r="40" spans="1:7" s="199" customFormat="1" ht="15">
      <c r="A40" s="217"/>
      <c r="B40" s="217"/>
      <c r="C40" s="217" t="s">
        <v>59</v>
      </c>
      <c r="D40" s="202">
        <v>0</v>
      </c>
      <c r="E40" s="202">
        <v>0</v>
      </c>
      <c r="F40" s="202">
        <v>0</v>
      </c>
      <c r="G40" s="203">
        <f t="shared" si="1"/>
        <v>0</v>
      </c>
    </row>
    <row r="41" spans="1:7" s="199" customFormat="1" ht="15">
      <c r="A41" s="217"/>
      <c r="B41" s="217"/>
      <c r="C41" s="217" t="s">
        <v>60</v>
      </c>
      <c r="D41" s="202">
        <v>0</v>
      </c>
      <c r="E41" s="202">
        <v>0</v>
      </c>
      <c r="F41" s="202">
        <v>0</v>
      </c>
      <c r="G41" s="203">
        <f t="shared" si="1"/>
        <v>0</v>
      </c>
    </row>
    <row r="42" spans="1:7" s="199" customFormat="1" ht="15">
      <c r="A42" s="217"/>
      <c r="B42" s="217"/>
      <c r="C42" s="217" t="s">
        <v>61</v>
      </c>
      <c r="D42" s="202">
        <v>0</v>
      </c>
      <c r="E42" s="202">
        <v>0</v>
      </c>
      <c r="F42" s="202">
        <v>0</v>
      </c>
      <c r="G42" s="203">
        <f t="shared" si="1"/>
        <v>0</v>
      </c>
    </row>
    <row r="43" spans="1:7" s="199" customFormat="1" ht="15">
      <c r="A43" s="217"/>
      <c r="B43" s="217"/>
      <c r="C43" s="217" t="s">
        <v>57</v>
      </c>
      <c r="D43" s="202">
        <v>0</v>
      </c>
      <c r="E43" s="202">
        <v>0</v>
      </c>
      <c r="F43" s="202">
        <v>0</v>
      </c>
      <c r="G43" s="203">
        <f t="shared" si="1"/>
        <v>0</v>
      </c>
    </row>
    <row r="44" spans="1:7" s="199" customFormat="1" ht="15">
      <c r="A44" s="217"/>
      <c r="B44" s="217"/>
      <c r="C44" s="217" t="s">
        <v>62</v>
      </c>
      <c r="D44" s="202">
        <v>0</v>
      </c>
      <c r="E44" s="202">
        <v>0</v>
      </c>
      <c r="F44" s="202">
        <v>0</v>
      </c>
      <c r="G44" s="203">
        <f t="shared" si="1"/>
        <v>0</v>
      </c>
    </row>
    <row r="45" spans="1:7" s="199" customFormat="1" ht="15">
      <c r="A45" s="217"/>
      <c r="B45" s="217"/>
      <c r="C45" s="217" t="s">
        <v>63</v>
      </c>
      <c r="D45" s="202">
        <v>0</v>
      </c>
      <c r="E45" s="202">
        <v>0</v>
      </c>
      <c r="F45" s="202">
        <v>0</v>
      </c>
      <c r="G45" s="203">
        <f t="shared" si="1"/>
        <v>0</v>
      </c>
    </row>
    <row r="46" spans="1:7" s="199" customFormat="1" ht="15">
      <c r="A46" s="217"/>
      <c r="B46" s="217"/>
      <c r="C46" s="217" t="s">
        <v>506</v>
      </c>
      <c r="D46" s="202">
        <v>0</v>
      </c>
      <c r="E46" s="202">
        <v>0</v>
      </c>
      <c r="F46" s="202">
        <v>0</v>
      </c>
      <c r="G46" s="203">
        <f t="shared" si="1"/>
        <v>0</v>
      </c>
    </row>
    <row r="47" spans="1:7" s="199" customFormat="1" ht="15">
      <c r="A47" s="217"/>
      <c r="B47" s="219" t="s">
        <v>93</v>
      </c>
      <c r="C47" s="217"/>
      <c r="D47" s="202"/>
      <c r="E47" s="202"/>
      <c r="F47" s="202"/>
      <c r="G47" s="202"/>
    </row>
    <row r="48" spans="1:7" s="199" customFormat="1" ht="15">
      <c r="A48" s="217"/>
      <c r="B48" s="217"/>
      <c r="C48" s="217" t="s">
        <v>507</v>
      </c>
      <c r="D48" s="202">
        <v>0</v>
      </c>
      <c r="E48" s="202">
        <v>0</v>
      </c>
      <c r="F48" s="202">
        <v>0</v>
      </c>
      <c r="G48" s="203">
        <f t="shared" si="1"/>
        <v>0</v>
      </c>
    </row>
    <row r="49" spans="1:7" s="199" customFormat="1" ht="15">
      <c r="A49" s="217"/>
      <c r="B49" s="217"/>
      <c r="C49" s="217" t="s">
        <v>406</v>
      </c>
      <c r="D49" s="202">
        <v>0</v>
      </c>
      <c r="E49" s="202">
        <v>0</v>
      </c>
      <c r="F49" s="202">
        <v>0</v>
      </c>
      <c r="G49" s="203">
        <f t="shared" si="1"/>
        <v>0</v>
      </c>
    </row>
    <row r="50" spans="1:7" s="199" customFormat="1" ht="15">
      <c r="A50" s="217"/>
      <c r="B50" s="219" t="s">
        <v>94</v>
      </c>
      <c r="C50" s="217"/>
      <c r="D50" s="202"/>
      <c r="E50" s="202"/>
      <c r="F50" s="202"/>
      <c r="G50" s="202"/>
    </row>
    <row r="51" spans="1:7" s="199" customFormat="1" ht="15">
      <c r="A51" s="217"/>
      <c r="B51" s="217"/>
      <c r="C51" s="217" t="s">
        <v>95</v>
      </c>
      <c r="D51" s="202">
        <v>0</v>
      </c>
      <c r="E51" s="202">
        <v>0</v>
      </c>
      <c r="F51" s="202">
        <v>0</v>
      </c>
      <c r="G51" s="203">
        <f t="shared" si="1"/>
        <v>0</v>
      </c>
    </row>
    <row r="52" spans="1:7" s="199" customFormat="1" ht="15">
      <c r="A52" s="217"/>
      <c r="B52" s="217"/>
      <c r="C52" s="217" t="s">
        <v>507</v>
      </c>
      <c r="D52" s="202">
        <v>0</v>
      </c>
      <c r="E52" s="202">
        <v>0</v>
      </c>
      <c r="F52" s="202">
        <v>0</v>
      </c>
      <c r="G52" s="203">
        <f t="shared" si="1"/>
        <v>0</v>
      </c>
    </row>
    <row r="53" spans="1:7" s="199" customFormat="1" ht="15">
      <c r="A53" s="217"/>
      <c r="B53" s="217"/>
      <c r="C53" s="217" t="s">
        <v>407</v>
      </c>
      <c r="D53" s="202">
        <v>0</v>
      </c>
      <c r="E53" s="202">
        <v>0</v>
      </c>
      <c r="F53" s="202">
        <v>0</v>
      </c>
      <c r="G53" s="203">
        <f t="shared" si="1"/>
        <v>0</v>
      </c>
    </row>
    <row r="54" spans="1:7" s="199" customFormat="1" ht="15">
      <c r="A54" s="217"/>
      <c r="B54" s="219" t="s">
        <v>96</v>
      </c>
      <c r="C54" s="217"/>
      <c r="D54" s="202"/>
      <c r="E54" s="202"/>
      <c r="F54" s="202"/>
      <c r="G54" s="202"/>
    </row>
    <row r="55" spans="1:7" s="199" customFormat="1" ht="15">
      <c r="A55" s="217"/>
      <c r="B55" s="217"/>
      <c r="C55" s="217" t="s">
        <v>57</v>
      </c>
      <c r="D55" s="202">
        <v>0</v>
      </c>
      <c r="E55" s="202">
        <v>0</v>
      </c>
      <c r="F55" s="202">
        <v>0</v>
      </c>
      <c r="G55" s="203">
        <f t="shared" si="1"/>
        <v>0</v>
      </c>
    </row>
    <row r="56" spans="1:7" s="199" customFormat="1" ht="15">
      <c r="A56" s="217"/>
      <c r="B56" s="217"/>
      <c r="C56" s="217" t="s">
        <v>65</v>
      </c>
      <c r="D56" s="202">
        <v>0</v>
      </c>
      <c r="E56" s="202">
        <v>0</v>
      </c>
      <c r="F56" s="202">
        <v>0</v>
      </c>
      <c r="G56" s="203">
        <f t="shared" si="1"/>
        <v>0</v>
      </c>
    </row>
    <row r="57" spans="1:7" s="199" customFormat="1" ht="15">
      <c r="A57" s="217"/>
      <c r="B57" s="217"/>
      <c r="C57" s="217" t="s">
        <v>407</v>
      </c>
      <c r="D57" s="202">
        <v>0</v>
      </c>
      <c r="E57" s="202">
        <v>0</v>
      </c>
      <c r="F57" s="202">
        <v>0</v>
      </c>
      <c r="G57" s="203">
        <f t="shared" si="1"/>
        <v>0</v>
      </c>
    </row>
    <row r="58" spans="1:7" s="199" customFormat="1" ht="15">
      <c r="A58" s="217"/>
      <c r="B58" s="217"/>
      <c r="C58" s="217" t="s">
        <v>100</v>
      </c>
      <c r="D58" s="202">
        <v>0</v>
      </c>
      <c r="E58" s="202">
        <v>0</v>
      </c>
      <c r="F58" s="202">
        <v>0</v>
      </c>
      <c r="G58" s="203">
        <f t="shared" si="1"/>
        <v>0</v>
      </c>
    </row>
    <row r="59" spans="1:7" s="199" customFormat="1" ht="15">
      <c r="A59" s="217"/>
      <c r="B59" s="217"/>
      <c r="C59" s="217" t="s">
        <v>507</v>
      </c>
      <c r="D59" s="202">
        <v>0</v>
      </c>
      <c r="E59" s="202">
        <v>0</v>
      </c>
      <c r="F59" s="202">
        <v>0</v>
      </c>
      <c r="G59" s="203">
        <f t="shared" si="1"/>
        <v>0</v>
      </c>
    </row>
    <row r="60" spans="1:7" s="199" customFormat="1" ht="15">
      <c r="A60" s="217"/>
      <c r="B60" s="217"/>
      <c r="C60" s="217" t="s">
        <v>95</v>
      </c>
      <c r="D60" s="202">
        <v>0</v>
      </c>
      <c r="E60" s="202">
        <v>0</v>
      </c>
      <c r="F60" s="202">
        <v>0</v>
      </c>
      <c r="G60" s="203">
        <f t="shared" si="1"/>
        <v>0</v>
      </c>
    </row>
    <row r="61" spans="1:7" s="199" customFormat="1" ht="15">
      <c r="A61" s="217"/>
      <c r="B61" s="219" t="s">
        <v>97</v>
      </c>
      <c r="C61" s="217"/>
      <c r="D61" s="202"/>
      <c r="E61" s="202"/>
      <c r="F61" s="202"/>
      <c r="G61" s="202"/>
    </row>
    <row r="62" spans="1:7" s="199" customFormat="1" ht="15">
      <c r="A62" s="217"/>
      <c r="B62" s="217"/>
      <c r="C62" s="217" t="s">
        <v>95</v>
      </c>
      <c r="D62" s="202">
        <v>0</v>
      </c>
      <c r="E62" s="202">
        <v>0</v>
      </c>
      <c r="F62" s="202">
        <v>0</v>
      </c>
      <c r="G62" s="203">
        <f t="shared" si="1"/>
        <v>0</v>
      </c>
    </row>
    <row r="63" spans="1:7" s="199" customFormat="1" ht="15">
      <c r="A63" s="217"/>
      <c r="B63" s="217"/>
      <c r="C63" s="217" t="s">
        <v>66</v>
      </c>
      <c r="D63" s="202">
        <v>0</v>
      </c>
      <c r="E63" s="202">
        <v>0</v>
      </c>
      <c r="F63" s="202">
        <v>0</v>
      </c>
      <c r="G63" s="203">
        <f t="shared" si="1"/>
        <v>0</v>
      </c>
    </row>
    <row r="64" spans="1:7" s="199" customFormat="1" ht="15">
      <c r="A64" s="217"/>
      <c r="B64" s="217"/>
      <c r="C64" s="217" t="s">
        <v>507</v>
      </c>
      <c r="D64" s="202">
        <v>0</v>
      </c>
      <c r="E64" s="202">
        <v>0</v>
      </c>
      <c r="F64" s="202">
        <v>0</v>
      </c>
      <c r="G64" s="203">
        <f t="shared" si="1"/>
        <v>0</v>
      </c>
    </row>
    <row r="65" spans="1:7" s="199" customFormat="1" ht="15">
      <c r="A65" s="217"/>
      <c r="B65" s="217"/>
      <c r="C65" s="217" t="s">
        <v>407</v>
      </c>
      <c r="D65" s="202">
        <v>0</v>
      </c>
      <c r="E65" s="202">
        <v>0</v>
      </c>
      <c r="F65" s="202">
        <v>0</v>
      </c>
      <c r="G65" s="203">
        <f t="shared" si="1"/>
        <v>0</v>
      </c>
    </row>
    <row r="66" spans="1:7" s="199" customFormat="1" ht="15">
      <c r="A66" s="217"/>
      <c r="B66" s="217"/>
      <c r="C66" s="217" t="s">
        <v>57</v>
      </c>
      <c r="D66" s="202">
        <v>0</v>
      </c>
      <c r="E66" s="202">
        <v>0</v>
      </c>
      <c r="F66" s="202">
        <v>0</v>
      </c>
      <c r="G66" s="203">
        <f t="shared" si="1"/>
        <v>0</v>
      </c>
    </row>
    <row r="67" spans="1:7" s="199" customFormat="1" ht="15">
      <c r="A67" s="217"/>
      <c r="B67" s="219" t="s">
        <v>114</v>
      </c>
      <c r="C67" s="217"/>
      <c r="D67" s="202"/>
      <c r="E67" s="202"/>
      <c r="F67" s="202"/>
      <c r="G67" s="202"/>
    </row>
    <row r="68" spans="1:7" s="199" customFormat="1" ht="15">
      <c r="A68" s="217"/>
      <c r="B68" s="217"/>
      <c r="C68" s="217" t="s">
        <v>57</v>
      </c>
      <c r="D68" s="202">
        <v>0</v>
      </c>
      <c r="E68" s="202">
        <v>0</v>
      </c>
      <c r="F68" s="202">
        <v>0</v>
      </c>
      <c r="G68" s="203">
        <f t="shared" si="1"/>
        <v>0</v>
      </c>
    </row>
    <row r="69" spans="1:7" s="199" customFormat="1" ht="15">
      <c r="A69" s="217"/>
      <c r="B69" s="217"/>
      <c r="C69" s="217" t="s">
        <v>507</v>
      </c>
      <c r="D69" s="202">
        <v>0</v>
      </c>
      <c r="E69" s="202">
        <v>0</v>
      </c>
      <c r="F69" s="202">
        <v>0</v>
      </c>
      <c r="G69" s="203">
        <f t="shared" si="1"/>
        <v>0</v>
      </c>
    </row>
    <row r="70" spans="1:7" s="199" customFormat="1" ht="15">
      <c r="A70" s="217"/>
      <c r="B70" s="219" t="s">
        <v>98</v>
      </c>
      <c r="C70" s="217"/>
      <c r="D70" s="202"/>
      <c r="E70" s="202"/>
      <c r="F70" s="202"/>
      <c r="G70" s="202"/>
    </row>
    <row r="71" spans="1:7" s="199" customFormat="1" ht="15">
      <c r="A71" s="217"/>
      <c r="B71" s="217"/>
      <c r="C71" s="217" t="s">
        <v>507</v>
      </c>
      <c r="D71" s="202">
        <v>0</v>
      </c>
      <c r="E71" s="202">
        <v>0</v>
      </c>
      <c r="F71" s="202">
        <v>0</v>
      </c>
      <c r="G71" s="203">
        <f t="shared" si="1"/>
        <v>0</v>
      </c>
    </row>
    <row r="72" spans="1:7" s="199" customFormat="1" ht="15">
      <c r="A72" s="217"/>
      <c r="B72" s="217"/>
      <c r="C72" s="217" t="s">
        <v>95</v>
      </c>
      <c r="D72" s="202">
        <v>0</v>
      </c>
      <c r="E72" s="202">
        <v>0</v>
      </c>
      <c r="F72" s="202">
        <v>0</v>
      </c>
      <c r="G72" s="203">
        <f t="shared" si="1"/>
        <v>0</v>
      </c>
    </row>
    <row r="73" spans="1:7" s="199" customFormat="1" ht="15">
      <c r="A73" s="217"/>
      <c r="B73" s="219" t="s">
        <v>90</v>
      </c>
      <c r="C73" s="217"/>
      <c r="D73" s="202"/>
      <c r="E73" s="202"/>
      <c r="F73" s="202"/>
      <c r="G73" s="202"/>
    </row>
    <row r="74" spans="1:7" s="199" customFormat="1" ht="15">
      <c r="A74" s="217"/>
      <c r="B74" s="217"/>
      <c r="C74" s="217" t="s">
        <v>51</v>
      </c>
      <c r="D74" s="202">
        <v>0</v>
      </c>
      <c r="E74" s="202">
        <v>0</v>
      </c>
      <c r="F74" s="202">
        <v>0</v>
      </c>
      <c r="G74" s="203">
        <f t="shared" si="1"/>
        <v>0</v>
      </c>
    </row>
    <row r="75" spans="1:7" s="199" customFormat="1" ht="15">
      <c r="A75" s="217"/>
      <c r="B75" s="217"/>
      <c r="C75" s="217" t="s">
        <v>52</v>
      </c>
      <c r="D75" s="202">
        <v>0</v>
      </c>
      <c r="E75" s="202">
        <v>0</v>
      </c>
      <c r="F75" s="202">
        <v>0</v>
      </c>
      <c r="G75" s="203">
        <f t="shared" si="1"/>
        <v>0</v>
      </c>
    </row>
    <row r="76" spans="1:7" ht="15">
      <c r="A76" s="77"/>
      <c r="B76" s="77"/>
      <c r="C76" s="77" t="s">
        <v>53</v>
      </c>
      <c r="D76" s="76">
        <v>0</v>
      </c>
      <c r="E76" s="76">
        <v>0</v>
      </c>
      <c r="F76" s="76">
        <v>0</v>
      </c>
      <c r="G76" s="85">
        <f t="shared" si="1"/>
        <v>0</v>
      </c>
    </row>
    <row r="77" spans="1:7" ht="15">
      <c r="A77" s="77"/>
      <c r="B77" s="77"/>
      <c r="C77" s="77" t="s">
        <v>54</v>
      </c>
      <c r="D77" s="76">
        <v>0</v>
      </c>
      <c r="E77" s="76">
        <v>0</v>
      </c>
      <c r="F77" s="76">
        <v>0</v>
      </c>
      <c r="G77" s="85">
        <f t="shared" si="1"/>
        <v>0</v>
      </c>
    </row>
    <row r="78" spans="1:7" ht="15">
      <c r="A78" s="77"/>
      <c r="B78" s="77"/>
      <c r="C78" s="77" t="s">
        <v>55</v>
      </c>
      <c r="D78" s="76">
        <v>0</v>
      </c>
      <c r="E78" s="76">
        <v>0</v>
      </c>
      <c r="F78" s="76">
        <v>0</v>
      </c>
      <c r="G78" s="85">
        <f t="shared" si="1"/>
        <v>0</v>
      </c>
    </row>
    <row r="79" spans="1:7" ht="15">
      <c r="A79" s="77"/>
      <c r="B79" s="77"/>
      <c r="C79" s="77" t="s">
        <v>91</v>
      </c>
      <c r="D79" s="76">
        <v>0</v>
      </c>
      <c r="E79" s="76">
        <v>0</v>
      </c>
      <c r="F79" s="76">
        <v>0</v>
      </c>
      <c r="G79" s="85">
        <f t="shared" si="1"/>
        <v>0</v>
      </c>
    </row>
    <row r="80" spans="1:7" ht="15">
      <c r="A80" s="77"/>
      <c r="B80" s="77"/>
      <c r="C80" s="77" t="s">
        <v>56</v>
      </c>
      <c r="D80" s="76">
        <v>0</v>
      </c>
      <c r="E80" s="76">
        <v>0</v>
      </c>
      <c r="F80" s="76">
        <v>0</v>
      </c>
      <c r="G80" s="85">
        <f t="shared" si="1"/>
        <v>0</v>
      </c>
    </row>
    <row r="81" spans="1:7" ht="15.75" thickBot="1">
      <c r="A81" s="220"/>
      <c r="B81" s="221" t="s">
        <v>107</v>
      </c>
      <c r="C81" s="220"/>
      <c r="D81" s="206">
        <f>SUM(D38:D80)</f>
        <v>0</v>
      </c>
      <c r="E81" s="206">
        <f>SUM(E38:E80)</f>
        <v>0</v>
      </c>
      <c r="F81" s="206">
        <f>SUM(F38:F80)</f>
        <v>0</v>
      </c>
      <c r="G81" s="206">
        <f>SUM(G38:G80)</f>
        <v>0</v>
      </c>
    </row>
    <row r="82" spans="1:7" ht="15">
      <c r="A82" s="77"/>
      <c r="B82" s="77"/>
      <c r="C82" s="101"/>
      <c r="D82" s="76"/>
      <c r="E82" s="76"/>
      <c r="F82" s="76"/>
      <c r="G82" s="76"/>
    </row>
    <row r="83" spans="1:7" s="199" customFormat="1" ht="15">
      <c r="A83" s="219" t="s">
        <v>99</v>
      </c>
      <c r="B83" s="217"/>
      <c r="C83" s="217"/>
      <c r="D83" s="202"/>
      <c r="E83" s="202"/>
      <c r="F83" s="202"/>
      <c r="G83" s="202"/>
    </row>
    <row r="84" spans="1:7" s="199" customFormat="1" ht="15">
      <c r="A84" s="217"/>
      <c r="B84" s="219" t="s">
        <v>115</v>
      </c>
      <c r="C84" s="217"/>
      <c r="D84" s="202"/>
      <c r="E84" s="202"/>
      <c r="F84" s="202"/>
      <c r="G84" s="202"/>
    </row>
    <row r="85" spans="1:7" s="199" customFormat="1" ht="15">
      <c r="A85" s="217"/>
      <c r="B85" s="217"/>
      <c r="C85" s="217" t="s">
        <v>100</v>
      </c>
      <c r="D85" s="202">
        <v>0</v>
      </c>
      <c r="E85" s="202">
        <v>0</v>
      </c>
      <c r="F85" s="202">
        <v>0</v>
      </c>
      <c r="G85" s="203">
        <f>SUM(D85:F85)</f>
        <v>0</v>
      </c>
    </row>
    <row r="86" spans="1:7" s="199" customFormat="1" ht="15">
      <c r="A86" s="217"/>
      <c r="B86" s="219" t="s">
        <v>88</v>
      </c>
      <c r="C86" s="217"/>
      <c r="D86" s="202"/>
      <c r="E86" s="202"/>
      <c r="F86" s="202"/>
      <c r="G86" s="202"/>
    </row>
    <row r="87" spans="1:7" s="199" customFormat="1" ht="15">
      <c r="A87" s="217"/>
      <c r="B87" s="217"/>
      <c r="C87" s="217" t="s">
        <v>406</v>
      </c>
      <c r="D87" s="202">
        <v>0</v>
      </c>
      <c r="E87" s="202">
        <v>0</v>
      </c>
      <c r="F87" s="202">
        <v>0</v>
      </c>
      <c r="G87" s="203">
        <f aca="true" t="shared" si="2" ref="G87:G123">SUM(D87:F87)</f>
        <v>0</v>
      </c>
    </row>
    <row r="88" spans="1:7" s="199" customFormat="1" ht="15">
      <c r="A88" s="217"/>
      <c r="B88" s="217"/>
      <c r="C88" s="217" t="s">
        <v>57</v>
      </c>
      <c r="D88" s="202">
        <v>0</v>
      </c>
      <c r="E88" s="202">
        <v>0</v>
      </c>
      <c r="F88" s="202">
        <v>0</v>
      </c>
      <c r="G88" s="203">
        <f t="shared" si="2"/>
        <v>0</v>
      </c>
    </row>
    <row r="89" spans="1:7" s="199" customFormat="1" ht="15">
      <c r="A89" s="217"/>
      <c r="B89" s="219" t="s">
        <v>93</v>
      </c>
      <c r="C89" s="217"/>
      <c r="D89" s="202"/>
      <c r="E89" s="202"/>
      <c r="F89" s="202"/>
      <c r="G89" s="202"/>
    </row>
    <row r="90" spans="1:7" s="199" customFormat="1" ht="15">
      <c r="A90" s="217"/>
      <c r="B90" s="217"/>
      <c r="C90" s="217" t="s">
        <v>144</v>
      </c>
      <c r="D90" s="202">
        <v>0</v>
      </c>
      <c r="E90" s="202">
        <v>0</v>
      </c>
      <c r="F90" s="202">
        <v>0</v>
      </c>
      <c r="G90" s="203">
        <f t="shared" si="2"/>
        <v>0</v>
      </c>
    </row>
    <row r="91" spans="1:7" s="199" customFormat="1" ht="15">
      <c r="A91" s="217"/>
      <c r="B91" s="217"/>
      <c r="C91" s="217" t="s">
        <v>406</v>
      </c>
      <c r="D91" s="202">
        <v>0</v>
      </c>
      <c r="E91" s="202">
        <v>0</v>
      </c>
      <c r="F91" s="202">
        <v>0</v>
      </c>
      <c r="G91" s="203">
        <f t="shared" si="2"/>
        <v>0</v>
      </c>
    </row>
    <row r="92" spans="1:7" s="199" customFormat="1" ht="15">
      <c r="A92" s="217"/>
      <c r="B92" s="219" t="s">
        <v>117</v>
      </c>
      <c r="C92" s="217"/>
      <c r="D92" s="202"/>
      <c r="E92" s="202"/>
      <c r="F92" s="202"/>
      <c r="G92" s="202"/>
    </row>
    <row r="93" spans="1:7" s="199" customFormat="1" ht="15">
      <c r="A93" s="217"/>
      <c r="B93" s="217"/>
      <c r="C93" s="217" t="s">
        <v>100</v>
      </c>
      <c r="D93" s="202">
        <v>0</v>
      </c>
      <c r="E93" s="202">
        <v>0</v>
      </c>
      <c r="F93" s="202">
        <v>0</v>
      </c>
      <c r="G93" s="203">
        <f t="shared" si="2"/>
        <v>0</v>
      </c>
    </row>
    <row r="94" spans="1:7" s="199" customFormat="1" ht="15">
      <c r="A94" s="217"/>
      <c r="B94" s="217"/>
      <c r="C94" s="217" t="s">
        <v>95</v>
      </c>
      <c r="D94" s="202">
        <v>0</v>
      </c>
      <c r="E94" s="202">
        <v>0</v>
      </c>
      <c r="F94" s="202">
        <v>0</v>
      </c>
      <c r="G94" s="203">
        <f t="shared" si="2"/>
        <v>0</v>
      </c>
    </row>
    <row r="95" spans="1:7" s="199" customFormat="1" ht="15">
      <c r="A95" s="217"/>
      <c r="B95" s="217"/>
      <c r="C95" s="217" t="s">
        <v>144</v>
      </c>
      <c r="D95" s="202">
        <v>0</v>
      </c>
      <c r="E95" s="202">
        <v>0</v>
      </c>
      <c r="F95" s="202">
        <v>0</v>
      </c>
      <c r="G95" s="203">
        <f t="shared" si="2"/>
        <v>0</v>
      </c>
    </row>
    <row r="96" spans="1:7" s="199" customFormat="1" ht="15">
      <c r="A96" s="217"/>
      <c r="B96" s="217"/>
      <c r="C96" s="217" t="s">
        <v>407</v>
      </c>
      <c r="D96" s="202">
        <v>0</v>
      </c>
      <c r="E96" s="202">
        <v>0</v>
      </c>
      <c r="F96" s="202">
        <v>0</v>
      </c>
      <c r="G96" s="203">
        <f t="shared" si="2"/>
        <v>0</v>
      </c>
    </row>
    <row r="97" spans="1:7" s="199" customFormat="1" ht="15">
      <c r="A97" s="217"/>
      <c r="B97" s="219" t="s">
        <v>96</v>
      </c>
      <c r="C97" s="217"/>
      <c r="D97" s="202"/>
      <c r="E97" s="202"/>
      <c r="F97" s="202"/>
      <c r="G97" s="202"/>
    </row>
    <row r="98" spans="1:7" s="199" customFormat="1" ht="15">
      <c r="A98" s="217"/>
      <c r="B98" s="217"/>
      <c r="C98" s="217" t="s">
        <v>65</v>
      </c>
      <c r="D98" s="202">
        <v>0</v>
      </c>
      <c r="E98" s="202">
        <v>0</v>
      </c>
      <c r="F98" s="202">
        <v>0</v>
      </c>
      <c r="G98" s="203">
        <f t="shared" si="2"/>
        <v>0</v>
      </c>
    </row>
    <row r="99" spans="1:7" s="199" customFormat="1" ht="15">
      <c r="A99" s="217"/>
      <c r="B99" s="217"/>
      <c r="C99" s="217" t="s">
        <v>95</v>
      </c>
      <c r="D99" s="202">
        <v>0</v>
      </c>
      <c r="E99" s="202">
        <v>0</v>
      </c>
      <c r="F99" s="202">
        <v>0</v>
      </c>
      <c r="G99" s="203">
        <f t="shared" si="2"/>
        <v>0</v>
      </c>
    </row>
    <row r="100" spans="1:7" s="199" customFormat="1" ht="15">
      <c r="A100" s="217"/>
      <c r="B100" s="217"/>
      <c r="C100" s="217" t="s">
        <v>57</v>
      </c>
      <c r="D100" s="202">
        <v>0</v>
      </c>
      <c r="E100" s="202">
        <v>0</v>
      </c>
      <c r="F100" s="202">
        <v>0</v>
      </c>
      <c r="G100" s="203">
        <f t="shared" si="2"/>
        <v>0</v>
      </c>
    </row>
    <row r="101" spans="1:7" s="199" customFormat="1" ht="15">
      <c r="A101" s="217"/>
      <c r="B101" s="217"/>
      <c r="C101" s="217" t="s">
        <v>407</v>
      </c>
      <c r="D101" s="202">
        <v>0</v>
      </c>
      <c r="E101" s="202">
        <v>0</v>
      </c>
      <c r="F101" s="202">
        <v>0</v>
      </c>
      <c r="G101" s="203">
        <f t="shared" si="2"/>
        <v>0</v>
      </c>
    </row>
    <row r="102" spans="1:7" s="199" customFormat="1" ht="15">
      <c r="A102" s="217"/>
      <c r="B102" s="217"/>
      <c r="C102" s="217" t="s">
        <v>508</v>
      </c>
      <c r="D102" s="202">
        <v>0</v>
      </c>
      <c r="E102" s="202">
        <v>0</v>
      </c>
      <c r="F102" s="202">
        <v>0</v>
      </c>
      <c r="G102" s="203">
        <f t="shared" si="2"/>
        <v>0</v>
      </c>
    </row>
    <row r="103" spans="1:7" s="199" customFormat="1" ht="15">
      <c r="A103" s="217"/>
      <c r="B103" s="217"/>
      <c r="C103" s="217" t="s">
        <v>100</v>
      </c>
      <c r="D103" s="202">
        <v>0</v>
      </c>
      <c r="E103" s="202">
        <v>0</v>
      </c>
      <c r="F103" s="202">
        <v>0</v>
      </c>
      <c r="G103" s="203">
        <f t="shared" si="2"/>
        <v>0</v>
      </c>
    </row>
    <row r="104" spans="1:7" s="199" customFormat="1" ht="15">
      <c r="A104" s="217"/>
      <c r="B104" s="219" t="s">
        <v>97</v>
      </c>
      <c r="C104" s="217"/>
      <c r="D104" s="202"/>
      <c r="E104" s="202"/>
      <c r="F104" s="202"/>
      <c r="G104" s="202"/>
    </row>
    <row r="105" spans="1:7" s="199" customFormat="1" ht="15">
      <c r="A105" s="217"/>
      <c r="B105" s="217"/>
      <c r="C105" s="217" t="s">
        <v>66</v>
      </c>
      <c r="D105" s="202">
        <v>0</v>
      </c>
      <c r="E105" s="202">
        <v>0</v>
      </c>
      <c r="F105" s="202">
        <v>0</v>
      </c>
      <c r="G105" s="203">
        <f t="shared" si="2"/>
        <v>0</v>
      </c>
    </row>
    <row r="106" spans="1:7" s="199" customFormat="1" ht="15">
      <c r="A106" s="217"/>
      <c r="B106" s="217"/>
      <c r="C106" s="217" t="s">
        <v>95</v>
      </c>
      <c r="D106" s="202">
        <v>0</v>
      </c>
      <c r="E106" s="202">
        <v>0</v>
      </c>
      <c r="F106" s="202">
        <v>0</v>
      </c>
      <c r="G106" s="203">
        <f t="shared" si="2"/>
        <v>0</v>
      </c>
    </row>
    <row r="107" spans="1:7" s="199" customFormat="1" ht="15">
      <c r="A107" s="217"/>
      <c r="B107" s="217"/>
      <c r="C107" s="217" t="s">
        <v>508</v>
      </c>
      <c r="D107" s="202">
        <v>0</v>
      </c>
      <c r="E107" s="202">
        <v>0</v>
      </c>
      <c r="F107" s="202">
        <v>0</v>
      </c>
      <c r="G107" s="203">
        <f t="shared" si="2"/>
        <v>0</v>
      </c>
    </row>
    <row r="108" spans="1:7" s="199" customFormat="1" ht="15">
      <c r="A108" s="217"/>
      <c r="B108" s="217"/>
      <c r="C108" s="217" t="s">
        <v>407</v>
      </c>
      <c r="D108" s="202">
        <v>0</v>
      </c>
      <c r="E108" s="202">
        <v>0</v>
      </c>
      <c r="F108" s="202">
        <v>0</v>
      </c>
      <c r="G108" s="203">
        <f t="shared" si="2"/>
        <v>0</v>
      </c>
    </row>
    <row r="109" spans="1:7" s="199" customFormat="1" ht="15">
      <c r="A109" s="217"/>
      <c r="B109" s="217"/>
      <c r="C109" s="217" t="s">
        <v>57</v>
      </c>
      <c r="D109" s="202">
        <v>0</v>
      </c>
      <c r="E109" s="202">
        <v>0</v>
      </c>
      <c r="F109" s="202">
        <v>0</v>
      </c>
      <c r="G109" s="203">
        <f t="shared" si="2"/>
        <v>0</v>
      </c>
    </row>
    <row r="110" spans="1:7" s="199" customFormat="1" ht="15">
      <c r="A110" s="217"/>
      <c r="B110" s="219" t="s">
        <v>114</v>
      </c>
      <c r="C110" s="217"/>
      <c r="D110" s="202"/>
      <c r="E110" s="202"/>
      <c r="F110" s="202"/>
      <c r="G110" s="202"/>
    </row>
    <row r="111" spans="1:7" ht="15">
      <c r="A111" s="77"/>
      <c r="B111" s="77"/>
      <c r="C111" s="77" t="s">
        <v>57</v>
      </c>
      <c r="D111" s="76">
        <v>0</v>
      </c>
      <c r="E111" s="76">
        <v>0</v>
      </c>
      <c r="F111" s="76">
        <v>0</v>
      </c>
      <c r="G111" s="85">
        <f t="shared" si="2"/>
        <v>0</v>
      </c>
    </row>
    <row r="112" spans="1:7" ht="15">
      <c r="A112" s="77"/>
      <c r="B112" s="77"/>
      <c r="C112" s="77" t="s">
        <v>407</v>
      </c>
      <c r="D112" s="76">
        <v>0</v>
      </c>
      <c r="E112" s="76">
        <v>0</v>
      </c>
      <c r="F112" s="76">
        <v>0</v>
      </c>
      <c r="G112" s="85">
        <f t="shared" si="2"/>
        <v>0</v>
      </c>
    </row>
    <row r="113" spans="1:7" ht="15">
      <c r="A113" s="77"/>
      <c r="B113" s="77"/>
      <c r="C113" s="77" t="s">
        <v>508</v>
      </c>
      <c r="D113" s="76">
        <v>0</v>
      </c>
      <c r="E113" s="76">
        <v>0</v>
      </c>
      <c r="F113" s="76">
        <v>0</v>
      </c>
      <c r="G113" s="85">
        <f t="shared" si="2"/>
        <v>0</v>
      </c>
    </row>
    <row r="114" spans="1:7" s="199" customFormat="1" ht="15">
      <c r="A114" s="217"/>
      <c r="B114" s="219" t="s">
        <v>98</v>
      </c>
      <c r="C114" s="217"/>
      <c r="D114" s="202"/>
      <c r="E114" s="202"/>
      <c r="F114" s="202"/>
      <c r="G114" s="202"/>
    </row>
    <row r="115" spans="1:7" s="199" customFormat="1" ht="15">
      <c r="A115" s="217"/>
      <c r="B115" s="217"/>
      <c r="C115" s="217" t="s">
        <v>95</v>
      </c>
      <c r="D115" s="202">
        <v>0</v>
      </c>
      <c r="E115" s="202">
        <v>0</v>
      </c>
      <c r="F115" s="202">
        <v>0</v>
      </c>
      <c r="G115" s="203">
        <f t="shared" si="2"/>
        <v>0</v>
      </c>
    </row>
    <row r="116" spans="1:7" s="199" customFormat="1" ht="15">
      <c r="A116" s="217"/>
      <c r="B116" s="219" t="s">
        <v>90</v>
      </c>
      <c r="C116" s="217"/>
      <c r="D116" s="202"/>
      <c r="E116" s="202"/>
      <c r="F116" s="202"/>
      <c r="G116" s="202"/>
    </row>
    <row r="117" spans="1:7" ht="15">
      <c r="A117" s="77"/>
      <c r="B117" s="77"/>
      <c r="C117" s="77" t="s">
        <v>51</v>
      </c>
      <c r="D117" s="76">
        <v>0</v>
      </c>
      <c r="E117" s="76">
        <v>0</v>
      </c>
      <c r="F117" s="76">
        <v>0</v>
      </c>
      <c r="G117" s="85">
        <f t="shared" si="2"/>
        <v>0</v>
      </c>
    </row>
    <row r="118" spans="1:7" ht="15">
      <c r="A118" s="77"/>
      <c r="B118" s="77"/>
      <c r="C118" s="77" t="s">
        <v>52</v>
      </c>
      <c r="D118" s="76">
        <v>0</v>
      </c>
      <c r="E118" s="76">
        <v>0</v>
      </c>
      <c r="F118" s="76">
        <v>0</v>
      </c>
      <c r="G118" s="85">
        <f t="shared" si="2"/>
        <v>0</v>
      </c>
    </row>
    <row r="119" spans="1:9" ht="15">
      <c r="A119" s="77"/>
      <c r="B119" s="77"/>
      <c r="C119" s="77" t="s">
        <v>53</v>
      </c>
      <c r="D119" s="76">
        <v>0</v>
      </c>
      <c r="E119" s="76">
        <v>0</v>
      </c>
      <c r="F119" s="76">
        <v>0</v>
      </c>
      <c r="G119" s="85">
        <f t="shared" si="2"/>
        <v>0</v>
      </c>
      <c r="I119" s="77"/>
    </row>
    <row r="120" spans="1:7" ht="15">
      <c r="A120" s="77"/>
      <c r="B120" s="77"/>
      <c r="C120" s="77" t="s">
        <v>54</v>
      </c>
      <c r="D120" s="76">
        <v>0</v>
      </c>
      <c r="E120" s="76">
        <v>0</v>
      </c>
      <c r="F120" s="76">
        <v>0</v>
      </c>
      <c r="G120" s="85">
        <f t="shared" si="2"/>
        <v>0</v>
      </c>
    </row>
    <row r="121" spans="1:7" ht="15">
      <c r="A121" s="77"/>
      <c r="B121" s="77"/>
      <c r="C121" s="77" t="s">
        <v>55</v>
      </c>
      <c r="D121" s="76">
        <v>0</v>
      </c>
      <c r="E121" s="76">
        <v>0</v>
      </c>
      <c r="F121" s="76">
        <v>0</v>
      </c>
      <c r="G121" s="85">
        <f t="shared" si="2"/>
        <v>0</v>
      </c>
    </row>
    <row r="122" spans="1:7" ht="15">
      <c r="A122" s="77"/>
      <c r="B122" s="77"/>
      <c r="C122" s="77" t="s">
        <v>91</v>
      </c>
      <c r="D122" s="76">
        <v>0</v>
      </c>
      <c r="E122" s="76">
        <v>0</v>
      </c>
      <c r="F122" s="76">
        <v>0</v>
      </c>
      <c r="G122" s="85">
        <f t="shared" si="2"/>
        <v>0</v>
      </c>
    </row>
    <row r="123" spans="1:7" ht="15">
      <c r="A123" s="77"/>
      <c r="B123" s="77"/>
      <c r="C123" s="77" t="s">
        <v>56</v>
      </c>
      <c r="D123" s="76">
        <v>0</v>
      </c>
      <c r="E123" s="76">
        <v>0</v>
      </c>
      <c r="F123" s="76">
        <v>0</v>
      </c>
      <c r="G123" s="85">
        <f t="shared" si="2"/>
        <v>0</v>
      </c>
    </row>
    <row r="124" spans="1:7" ht="15.75" thickBot="1">
      <c r="A124" s="220"/>
      <c r="B124" s="221" t="s">
        <v>108</v>
      </c>
      <c r="C124" s="220"/>
      <c r="D124" s="206">
        <f>SUM(D85:D123)</f>
        <v>0</v>
      </c>
      <c r="E124" s="206">
        <f>SUM(E85:E123)</f>
        <v>0</v>
      </c>
      <c r="F124" s="206">
        <f>SUM(F85:F123)</f>
        <v>0</v>
      </c>
      <c r="G124" s="206">
        <f>SUM(G85:G123)</f>
        <v>0</v>
      </c>
    </row>
    <row r="125" spans="1:7" ht="15">
      <c r="A125" s="77"/>
      <c r="B125" s="77"/>
      <c r="C125" s="101"/>
      <c r="D125" s="76"/>
      <c r="E125" s="76"/>
      <c r="F125" s="76"/>
      <c r="G125" s="76"/>
    </row>
    <row r="126" spans="1:7" s="199" customFormat="1" ht="15">
      <c r="A126" s="219" t="s">
        <v>101</v>
      </c>
      <c r="B126" s="217"/>
      <c r="C126" s="217"/>
      <c r="D126" s="202"/>
      <c r="E126" s="202"/>
      <c r="F126" s="202"/>
      <c r="G126" s="202"/>
    </row>
    <row r="127" spans="1:7" s="199" customFormat="1" ht="15">
      <c r="A127" s="217"/>
      <c r="B127" s="219" t="s">
        <v>115</v>
      </c>
      <c r="C127" s="217"/>
      <c r="D127" s="202"/>
      <c r="E127" s="202"/>
      <c r="F127" s="202"/>
      <c r="G127" s="202"/>
    </row>
    <row r="128" spans="1:7" s="199" customFormat="1" ht="15">
      <c r="A128" s="217"/>
      <c r="B128" s="217"/>
      <c r="C128" s="217" t="s">
        <v>100</v>
      </c>
      <c r="D128" s="202">
        <v>0</v>
      </c>
      <c r="E128" s="202">
        <v>0</v>
      </c>
      <c r="F128" s="202">
        <v>0</v>
      </c>
      <c r="G128" s="203">
        <f>SUM(D128:F128)</f>
        <v>0</v>
      </c>
    </row>
    <row r="129" spans="1:7" s="199" customFormat="1" ht="15">
      <c r="A129" s="217"/>
      <c r="B129" s="219" t="s">
        <v>88</v>
      </c>
      <c r="C129" s="217"/>
      <c r="D129" s="202"/>
      <c r="E129" s="202"/>
      <c r="F129" s="202"/>
      <c r="G129" s="202"/>
    </row>
    <row r="130" spans="1:7" s="199" customFormat="1" ht="15">
      <c r="A130" s="217"/>
      <c r="B130" s="217"/>
      <c r="C130" s="217" t="s">
        <v>57</v>
      </c>
      <c r="D130" s="202">
        <v>0</v>
      </c>
      <c r="E130" s="202">
        <v>0</v>
      </c>
      <c r="F130" s="202">
        <v>0</v>
      </c>
      <c r="G130" s="203">
        <f aca="true" t="shared" si="3" ref="G130:G180">SUM(D130:F130)</f>
        <v>0</v>
      </c>
    </row>
    <row r="131" spans="1:7" s="199" customFormat="1" ht="15">
      <c r="A131" s="217"/>
      <c r="B131" s="217"/>
      <c r="C131" s="217" t="s">
        <v>408</v>
      </c>
      <c r="D131" s="202">
        <v>0</v>
      </c>
      <c r="E131" s="202">
        <v>0</v>
      </c>
      <c r="F131" s="202">
        <v>0</v>
      </c>
      <c r="G131" s="202"/>
    </row>
    <row r="132" spans="1:7" s="199" customFormat="1" ht="15">
      <c r="A132" s="217"/>
      <c r="B132" s="219" t="s">
        <v>93</v>
      </c>
      <c r="C132" s="217"/>
      <c r="D132" s="202"/>
      <c r="E132" s="202"/>
      <c r="F132" s="202"/>
      <c r="G132" s="202"/>
    </row>
    <row r="133" spans="1:7" s="199" customFormat="1" ht="15">
      <c r="A133" s="217"/>
      <c r="B133" s="217"/>
      <c r="C133" s="217" t="s">
        <v>57</v>
      </c>
      <c r="D133" s="202">
        <v>0</v>
      </c>
      <c r="E133" s="202">
        <v>0</v>
      </c>
      <c r="F133" s="202">
        <v>0</v>
      </c>
      <c r="G133" s="203">
        <f t="shared" si="3"/>
        <v>0</v>
      </c>
    </row>
    <row r="134" spans="1:7" s="199" customFormat="1" ht="15">
      <c r="A134" s="217"/>
      <c r="B134" s="217"/>
      <c r="C134" s="217" t="s">
        <v>508</v>
      </c>
      <c r="D134" s="202">
        <v>0</v>
      </c>
      <c r="E134" s="202">
        <v>0</v>
      </c>
      <c r="F134" s="202">
        <v>0</v>
      </c>
      <c r="G134" s="203">
        <f t="shared" si="3"/>
        <v>0</v>
      </c>
    </row>
    <row r="135" spans="1:7" s="199" customFormat="1" ht="15">
      <c r="A135" s="217"/>
      <c r="B135" s="217"/>
      <c r="C135" s="217" t="s">
        <v>406</v>
      </c>
      <c r="D135" s="202">
        <v>0</v>
      </c>
      <c r="E135" s="202">
        <v>0</v>
      </c>
      <c r="F135" s="202">
        <v>0</v>
      </c>
      <c r="G135" s="203">
        <f t="shared" si="3"/>
        <v>0</v>
      </c>
    </row>
    <row r="136" spans="1:7" s="199" customFormat="1" ht="15">
      <c r="A136" s="217"/>
      <c r="B136" s="219" t="s">
        <v>94</v>
      </c>
      <c r="C136" s="217"/>
      <c r="D136" s="202"/>
      <c r="E136" s="202"/>
      <c r="F136" s="202"/>
      <c r="G136" s="202"/>
    </row>
    <row r="137" spans="1:7" s="199" customFormat="1" ht="15">
      <c r="A137" s="217"/>
      <c r="B137" s="217"/>
      <c r="C137" s="217" t="s">
        <v>100</v>
      </c>
      <c r="D137" s="202">
        <v>0</v>
      </c>
      <c r="E137" s="202">
        <v>0</v>
      </c>
      <c r="F137" s="202">
        <v>0</v>
      </c>
      <c r="G137" s="203">
        <f t="shared" si="3"/>
        <v>0</v>
      </c>
    </row>
    <row r="138" spans="1:7" s="199" customFormat="1" ht="15">
      <c r="A138" s="217"/>
      <c r="B138" s="217"/>
      <c r="C138" s="217" t="s">
        <v>95</v>
      </c>
      <c r="D138" s="202">
        <v>0</v>
      </c>
      <c r="E138" s="202">
        <v>0</v>
      </c>
      <c r="F138" s="202">
        <v>0</v>
      </c>
      <c r="G138" s="203">
        <f t="shared" si="3"/>
        <v>0</v>
      </c>
    </row>
    <row r="139" spans="1:7" s="199" customFormat="1" ht="15">
      <c r="A139" s="217"/>
      <c r="B139" s="217"/>
      <c r="C139" s="217" t="s">
        <v>508</v>
      </c>
      <c r="D139" s="202">
        <v>0</v>
      </c>
      <c r="E139" s="202">
        <v>0</v>
      </c>
      <c r="F139" s="202">
        <v>0</v>
      </c>
      <c r="G139" s="203">
        <f t="shared" si="3"/>
        <v>0</v>
      </c>
    </row>
    <row r="140" spans="1:7" s="199" customFormat="1" ht="15">
      <c r="A140" s="217"/>
      <c r="B140" s="217"/>
      <c r="C140" s="217" t="s">
        <v>407</v>
      </c>
      <c r="D140" s="202">
        <v>0</v>
      </c>
      <c r="E140" s="202">
        <v>0</v>
      </c>
      <c r="F140" s="202">
        <v>0</v>
      </c>
      <c r="G140" s="203">
        <f t="shared" si="3"/>
        <v>0</v>
      </c>
    </row>
    <row r="141" spans="1:7" s="199" customFormat="1" ht="15">
      <c r="A141" s="217"/>
      <c r="B141" s="219" t="s">
        <v>96</v>
      </c>
      <c r="C141" s="217"/>
      <c r="D141" s="202"/>
      <c r="E141" s="202"/>
      <c r="F141" s="202"/>
      <c r="G141" s="202"/>
    </row>
    <row r="142" spans="1:7" s="199" customFormat="1" ht="15">
      <c r="A142" s="217"/>
      <c r="B142" s="217"/>
      <c r="C142" s="217" t="s">
        <v>66</v>
      </c>
      <c r="D142" s="202">
        <v>0</v>
      </c>
      <c r="E142" s="202">
        <v>0</v>
      </c>
      <c r="F142" s="202">
        <v>0</v>
      </c>
      <c r="G142" s="203">
        <f t="shared" si="3"/>
        <v>0</v>
      </c>
    </row>
    <row r="143" spans="1:7" s="199" customFormat="1" ht="15">
      <c r="A143" s="217"/>
      <c r="B143" s="217"/>
      <c r="C143" s="217" t="s">
        <v>95</v>
      </c>
      <c r="D143" s="202">
        <v>0</v>
      </c>
      <c r="E143" s="202">
        <v>0</v>
      </c>
      <c r="F143" s="202">
        <v>0</v>
      </c>
      <c r="G143" s="203">
        <f t="shared" si="3"/>
        <v>0</v>
      </c>
    </row>
    <row r="144" spans="1:7" s="199" customFormat="1" ht="15">
      <c r="A144" s="217"/>
      <c r="B144" s="217"/>
      <c r="C144" s="217" t="s">
        <v>57</v>
      </c>
      <c r="D144" s="202">
        <v>0</v>
      </c>
      <c r="E144" s="202">
        <v>0</v>
      </c>
      <c r="F144" s="202">
        <v>0</v>
      </c>
      <c r="G144" s="203">
        <f t="shared" si="3"/>
        <v>0</v>
      </c>
    </row>
    <row r="145" spans="1:7" s="199" customFormat="1" ht="15">
      <c r="A145" s="217"/>
      <c r="B145" s="217"/>
      <c r="C145" s="217" t="s">
        <v>407</v>
      </c>
      <c r="D145" s="202">
        <v>0</v>
      </c>
      <c r="E145" s="202">
        <v>0</v>
      </c>
      <c r="F145" s="202">
        <v>0</v>
      </c>
      <c r="G145" s="203">
        <f t="shared" si="3"/>
        <v>0</v>
      </c>
    </row>
    <row r="146" spans="1:7" s="199" customFormat="1" ht="15">
      <c r="A146" s="217"/>
      <c r="B146" s="217"/>
      <c r="C146" s="217" t="s">
        <v>508</v>
      </c>
      <c r="D146" s="202">
        <v>0</v>
      </c>
      <c r="E146" s="202">
        <v>0</v>
      </c>
      <c r="F146" s="202">
        <v>0</v>
      </c>
      <c r="G146" s="203">
        <f t="shared" si="3"/>
        <v>0</v>
      </c>
    </row>
    <row r="147" spans="1:7" s="199" customFormat="1" ht="15">
      <c r="A147" s="217"/>
      <c r="B147" s="217"/>
      <c r="C147" s="217" t="s">
        <v>100</v>
      </c>
      <c r="D147" s="202">
        <v>0</v>
      </c>
      <c r="E147" s="202">
        <v>0</v>
      </c>
      <c r="F147" s="202">
        <v>0</v>
      </c>
      <c r="G147" s="203">
        <f t="shared" si="3"/>
        <v>0</v>
      </c>
    </row>
    <row r="148" spans="1:7" s="199" customFormat="1" ht="15">
      <c r="A148" s="217"/>
      <c r="B148" s="219" t="s">
        <v>118</v>
      </c>
      <c r="C148" s="217"/>
      <c r="D148" s="202"/>
      <c r="E148" s="202"/>
      <c r="F148" s="202"/>
      <c r="G148" s="202"/>
    </row>
    <row r="149" spans="1:7" s="199" customFormat="1" ht="15">
      <c r="A149" s="217"/>
      <c r="B149" s="217"/>
      <c r="C149" s="217" t="s">
        <v>95</v>
      </c>
      <c r="D149" s="202">
        <v>0</v>
      </c>
      <c r="E149" s="202">
        <v>0</v>
      </c>
      <c r="F149" s="202">
        <v>0</v>
      </c>
      <c r="G149" s="203">
        <f t="shared" si="3"/>
        <v>0</v>
      </c>
    </row>
    <row r="150" spans="1:7" s="199" customFormat="1" ht="15">
      <c r="A150" s="217"/>
      <c r="B150" s="217"/>
      <c r="C150" s="217" t="s">
        <v>508</v>
      </c>
      <c r="D150" s="202">
        <v>0</v>
      </c>
      <c r="E150" s="202">
        <v>0</v>
      </c>
      <c r="F150" s="202">
        <v>0</v>
      </c>
      <c r="G150" s="203">
        <f t="shared" si="3"/>
        <v>0</v>
      </c>
    </row>
    <row r="151" spans="1:7" s="199" customFormat="1" ht="15">
      <c r="A151" s="217"/>
      <c r="B151" s="217"/>
      <c r="C151" s="217" t="s">
        <v>407</v>
      </c>
      <c r="D151" s="202">
        <v>0</v>
      </c>
      <c r="E151" s="202">
        <v>0</v>
      </c>
      <c r="F151" s="202">
        <v>0</v>
      </c>
      <c r="G151" s="203">
        <f t="shared" si="3"/>
        <v>0</v>
      </c>
    </row>
    <row r="152" spans="1:7" s="199" customFormat="1" ht="15">
      <c r="A152" s="217"/>
      <c r="B152" s="217"/>
      <c r="C152" s="217" t="s">
        <v>81</v>
      </c>
      <c r="D152" s="202">
        <v>0</v>
      </c>
      <c r="E152" s="202">
        <v>0</v>
      </c>
      <c r="F152" s="202">
        <v>0</v>
      </c>
      <c r="G152" s="203">
        <f t="shared" si="3"/>
        <v>0</v>
      </c>
    </row>
    <row r="153" spans="1:7" s="199" customFormat="1" ht="15">
      <c r="A153" s="217"/>
      <c r="B153" s="219" t="s">
        <v>119</v>
      </c>
      <c r="C153" s="217"/>
      <c r="D153" s="202"/>
      <c r="E153" s="202"/>
      <c r="F153" s="202"/>
      <c r="G153" s="202"/>
    </row>
    <row r="154" spans="1:7" s="199" customFormat="1" ht="15">
      <c r="A154" s="217"/>
      <c r="B154" s="217"/>
      <c r="C154" s="217" t="s">
        <v>57</v>
      </c>
      <c r="D154" s="202">
        <v>0</v>
      </c>
      <c r="E154" s="202">
        <v>0</v>
      </c>
      <c r="F154" s="202">
        <v>0</v>
      </c>
      <c r="G154" s="203">
        <f t="shared" si="3"/>
        <v>0</v>
      </c>
    </row>
    <row r="155" spans="1:7" s="199" customFormat="1" ht="15">
      <c r="A155" s="217"/>
      <c r="B155" s="217"/>
      <c r="C155" s="217" t="s">
        <v>407</v>
      </c>
      <c r="D155" s="202">
        <v>0</v>
      </c>
      <c r="E155" s="202">
        <v>0</v>
      </c>
      <c r="F155" s="202">
        <v>0</v>
      </c>
      <c r="G155" s="203">
        <f t="shared" si="3"/>
        <v>0</v>
      </c>
    </row>
    <row r="156" spans="1:7" s="199" customFormat="1" ht="15">
      <c r="A156" s="217"/>
      <c r="B156" s="217"/>
      <c r="C156" s="217" t="s">
        <v>508</v>
      </c>
      <c r="D156" s="202">
        <v>0</v>
      </c>
      <c r="E156" s="202">
        <v>0</v>
      </c>
      <c r="F156" s="202">
        <v>0</v>
      </c>
      <c r="G156" s="203">
        <f t="shared" si="3"/>
        <v>0</v>
      </c>
    </row>
    <row r="157" spans="1:7" s="199" customFormat="1" ht="15">
      <c r="A157" s="217"/>
      <c r="B157" s="219" t="s">
        <v>114</v>
      </c>
      <c r="C157" s="217"/>
      <c r="D157" s="202"/>
      <c r="E157" s="202"/>
      <c r="F157" s="202"/>
      <c r="G157" s="202"/>
    </row>
    <row r="158" spans="1:7" s="199" customFormat="1" ht="15">
      <c r="A158" s="217"/>
      <c r="B158" s="217"/>
      <c r="C158" s="217" t="s">
        <v>57</v>
      </c>
      <c r="D158" s="202">
        <v>0</v>
      </c>
      <c r="E158" s="202">
        <v>0</v>
      </c>
      <c r="F158" s="202">
        <v>0</v>
      </c>
      <c r="G158" s="203">
        <f t="shared" si="3"/>
        <v>0</v>
      </c>
    </row>
    <row r="159" spans="1:7" s="199" customFormat="1" ht="15">
      <c r="A159" s="217"/>
      <c r="B159" s="217"/>
      <c r="C159" s="217" t="s">
        <v>407</v>
      </c>
      <c r="D159" s="202">
        <v>0</v>
      </c>
      <c r="E159" s="202">
        <v>0</v>
      </c>
      <c r="F159" s="202">
        <v>0</v>
      </c>
      <c r="G159" s="203">
        <f t="shared" si="3"/>
        <v>0</v>
      </c>
    </row>
    <row r="160" spans="1:7" s="199" customFormat="1" ht="15">
      <c r="A160" s="217"/>
      <c r="B160" s="217"/>
      <c r="C160" s="217" t="s">
        <v>508</v>
      </c>
      <c r="D160" s="202">
        <v>0</v>
      </c>
      <c r="E160" s="202">
        <v>0</v>
      </c>
      <c r="F160" s="202">
        <v>0</v>
      </c>
      <c r="G160" s="203">
        <f t="shared" si="3"/>
        <v>0</v>
      </c>
    </row>
    <row r="161" spans="1:7" s="199" customFormat="1" ht="15">
      <c r="A161" s="217"/>
      <c r="B161" s="219" t="s">
        <v>98</v>
      </c>
      <c r="C161" s="217"/>
      <c r="D161" s="202"/>
      <c r="E161" s="202"/>
      <c r="F161" s="202"/>
      <c r="G161" s="202"/>
    </row>
    <row r="162" spans="1:7" s="199" customFormat="1" ht="15">
      <c r="A162" s="217"/>
      <c r="B162" s="217"/>
      <c r="C162" s="217" t="s">
        <v>73</v>
      </c>
      <c r="D162" s="202">
        <v>0</v>
      </c>
      <c r="E162" s="202">
        <v>0</v>
      </c>
      <c r="F162" s="202">
        <v>0</v>
      </c>
      <c r="G162" s="203">
        <f t="shared" si="3"/>
        <v>0</v>
      </c>
    </row>
    <row r="163" spans="1:7" s="199" customFormat="1" ht="15">
      <c r="A163" s="217"/>
      <c r="B163" s="217"/>
      <c r="C163" s="217" t="s">
        <v>140</v>
      </c>
      <c r="D163" s="202">
        <v>0</v>
      </c>
      <c r="E163" s="202">
        <v>0</v>
      </c>
      <c r="F163" s="202">
        <v>0</v>
      </c>
      <c r="G163" s="203">
        <f t="shared" si="3"/>
        <v>0</v>
      </c>
    </row>
    <row r="164" spans="1:7" s="199" customFormat="1" ht="15">
      <c r="A164" s="217"/>
      <c r="B164" s="217"/>
      <c r="C164" s="217" t="s">
        <v>74</v>
      </c>
      <c r="D164" s="202">
        <v>0</v>
      </c>
      <c r="E164" s="202">
        <v>0</v>
      </c>
      <c r="F164" s="202">
        <v>0</v>
      </c>
      <c r="G164" s="203">
        <f t="shared" si="3"/>
        <v>0</v>
      </c>
    </row>
    <row r="165" spans="1:7" s="199" customFormat="1" ht="15">
      <c r="A165" s="217"/>
      <c r="B165" s="217"/>
      <c r="C165" s="217" t="s">
        <v>75</v>
      </c>
      <c r="D165" s="202">
        <v>0</v>
      </c>
      <c r="E165" s="202">
        <v>0</v>
      </c>
      <c r="F165" s="202">
        <v>0</v>
      </c>
      <c r="G165" s="203">
        <f t="shared" si="3"/>
        <v>0</v>
      </c>
    </row>
    <row r="166" spans="1:7" s="199" customFormat="1" ht="15">
      <c r="A166" s="217"/>
      <c r="B166" s="217"/>
      <c r="C166" s="217" t="s">
        <v>76</v>
      </c>
      <c r="D166" s="202">
        <v>0</v>
      </c>
      <c r="E166" s="202">
        <v>0</v>
      </c>
      <c r="F166" s="202">
        <v>0</v>
      </c>
      <c r="G166" s="203">
        <f t="shared" si="3"/>
        <v>0</v>
      </c>
    </row>
    <row r="167" spans="1:7" s="199" customFormat="1" ht="15">
      <c r="A167" s="217"/>
      <c r="B167" s="217"/>
      <c r="C167" s="217" t="s">
        <v>95</v>
      </c>
      <c r="D167" s="202">
        <v>0</v>
      </c>
      <c r="E167" s="202">
        <v>0</v>
      </c>
      <c r="F167" s="202">
        <v>0</v>
      </c>
      <c r="G167" s="203">
        <f t="shared" si="3"/>
        <v>0</v>
      </c>
    </row>
    <row r="168" spans="1:7" s="199" customFormat="1" ht="15">
      <c r="A168" s="217"/>
      <c r="B168" s="219" t="s">
        <v>90</v>
      </c>
      <c r="C168" s="217"/>
      <c r="D168" s="202"/>
      <c r="E168" s="202"/>
      <c r="F168" s="202"/>
      <c r="G168" s="202"/>
    </row>
    <row r="169" spans="1:7" s="199" customFormat="1" ht="15">
      <c r="A169" s="217"/>
      <c r="B169" s="217"/>
      <c r="C169" s="217" t="s">
        <v>51</v>
      </c>
      <c r="D169" s="202">
        <v>0</v>
      </c>
      <c r="E169" s="202">
        <v>0</v>
      </c>
      <c r="F169" s="202">
        <v>0</v>
      </c>
      <c r="G169" s="203">
        <f t="shared" si="3"/>
        <v>0</v>
      </c>
    </row>
    <row r="170" spans="1:7" s="199" customFormat="1" ht="15">
      <c r="A170" s="217"/>
      <c r="B170" s="217"/>
      <c r="C170" s="217" t="s">
        <v>52</v>
      </c>
      <c r="D170" s="202">
        <v>0</v>
      </c>
      <c r="E170" s="202">
        <v>0</v>
      </c>
      <c r="F170" s="202">
        <v>0</v>
      </c>
      <c r="G170" s="203">
        <f t="shared" si="3"/>
        <v>0</v>
      </c>
    </row>
    <row r="171" spans="1:7" ht="15">
      <c r="A171" s="77"/>
      <c r="B171" s="77"/>
      <c r="C171" s="77" t="s">
        <v>53</v>
      </c>
      <c r="D171" s="202">
        <v>0</v>
      </c>
      <c r="E171" s="202">
        <v>0</v>
      </c>
      <c r="F171" s="202">
        <v>0</v>
      </c>
      <c r="G171" s="85">
        <f t="shared" si="3"/>
        <v>0</v>
      </c>
    </row>
    <row r="172" spans="1:7" ht="15">
      <c r="A172" s="77"/>
      <c r="B172" s="77"/>
      <c r="C172" s="77" t="s">
        <v>54</v>
      </c>
      <c r="D172" s="202">
        <v>0</v>
      </c>
      <c r="E172" s="202">
        <v>0</v>
      </c>
      <c r="F172" s="202">
        <v>0</v>
      </c>
      <c r="G172" s="85">
        <f t="shared" si="3"/>
        <v>0</v>
      </c>
    </row>
    <row r="173" spans="1:7" ht="15">
      <c r="A173" s="77"/>
      <c r="B173" s="77"/>
      <c r="C173" s="77" t="s">
        <v>55</v>
      </c>
      <c r="D173" s="202">
        <v>0</v>
      </c>
      <c r="E173" s="202">
        <v>0</v>
      </c>
      <c r="F173" s="202">
        <v>0</v>
      </c>
      <c r="G173" s="85">
        <f t="shared" si="3"/>
        <v>0</v>
      </c>
    </row>
    <row r="174" spans="1:7" ht="15">
      <c r="A174" s="77"/>
      <c r="B174" s="77"/>
      <c r="C174" s="77" t="s">
        <v>68</v>
      </c>
      <c r="D174" s="202"/>
      <c r="E174" s="202"/>
      <c r="F174" s="202"/>
      <c r="G174" s="85"/>
    </row>
    <row r="175" spans="1:7" ht="15">
      <c r="A175" s="77"/>
      <c r="B175" s="77"/>
      <c r="C175" s="77" t="s">
        <v>69</v>
      </c>
      <c r="D175" s="202">
        <v>0</v>
      </c>
      <c r="E175" s="202">
        <v>0</v>
      </c>
      <c r="F175" s="202">
        <v>0</v>
      </c>
      <c r="G175" s="85">
        <f t="shared" si="3"/>
        <v>0</v>
      </c>
    </row>
    <row r="176" spans="1:7" ht="15">
      <c r="A176" s="77"/>
      <c r="B176" s="77"/>
      <c r="C176" s="77" t="s">
        <v>70</v>
      </c>
      <c r="D176" s="202">
        <v>0</v>
      </c>
      <c r="E176" s="202">
        <v>0</v>
      </c>
      <c r="F176" s="202">
        <v>0</v>
      </c>
      <c r="G176" s="85">
        <f t="shared" si="3"/>
        <v>0</v>
      </c>
    </row>
    <row r="177" spans="1:7" ht="15">
      <c r="A177" s="77"/>
      <c r="B177" s="77"/>
      <c r="C177" s="77" t="s">
        <v>71</v>
      </c>
      <c r="D177" s="202">
        <v>0</v>
      </c>
      <c r="E177" s="202">
        <v>0</v>
      </c>
      <c r="F177" s="202">
        <v>0</v>
      </c>
      <c r="G177" s="85">
        <f t="shared" si="3"/>
        <v>0</v>
      </c>
    </row>
    <row r="178" spans="1:7" ht="15">
      <c r="A178" s="77"/>
      <c r="B178" s="77"/>
      <c r="C178" s="77" t="s">
        <v>72</v>
      </c>
      <c r="D178" s="202">
        <v>0</v>
      </c>
      <c r="E178" s="202">
        <v>0</v>
      </c>
      <c r="F178" s="202">
        <v>0</v>
      </c>
      <c r="G178" s="85">
        <f t="shared" si="3"/>
        <v>0</v>
      </c>
    </row>
    <row r="179" spans="1:7" ht="15">
      <c r="A179" s="77"/>
      <c r="B179" s="77"/>
      <c r="C179" s="77" t="s">
        <v>91</v>
      </c>
      <c r="D179" s="202">
        <v>0</v>
      </c>
      <c r="E179" s="202">
        <v>0</v>
      </c>
      <c r="F179" s="202">
        <v>0</v>
      </c>
      <c r="G179" s="85">
        <f t="shared" si="3"/>
        <v>0</v>
      </c>
    </row>
    <row r="180" spans="1:7" ht="15">
      <c r="A180" s="77"/>
      <c r="B180" s="77"/>
      <c r="C180" s="77" t="s">
        <v>56</v>
      </c>
      <c r="D180" s="202">
        <v>0</v>
      </c>
      <c r="E180" s="202">
        <v>0</v>
      </c>
      <c r="F180" s="202">
        <v>0</v>
      </c>
      <c r="G180" s="85">
        <f t="shared" si="3"/>
        <v>0</v>
      </c>
    </row>
    <row r="181" spans="1:7" ht="15.75" thickBot="1">
      <c r="A181" s="220"/>
      <c r="B181" s="221" t="s">
        <v>109</v>
      </c>
      <c r="C181" s="220"/>
      <c r="D181" s="206">
        <f>SUM(D128:D180)</f>
        <v>0</v>
      </c>
      <c r="E181" s="206">
        <f>SUM(E128:E180)</f>
        <v>0</v>
      </c>
      <c r="F181" s="206">
        <f>SUM(F128:F180)</f>
        <v>0</v>
      </c>
      <c r="G181" s="206">
        <f>SUM(G128:G180)</f>
        <v>0</v>
      </c>
    </row>
    <row r="182" spans="1:7" ht="15">
      <c r="A182" s="77"/>
      <c r="B182" s="77"/>
      <c r="C182" s="101"/>
      <c r="D182" s="84"/>
      <c r="E182" s="84"/>
      <c r="F182" s="84"/>
      <c r="G182" s="84"/>
    </row>
    <row r="183" spans="1:7" s="199" customFormat="1" ht="15">
      <c r="A183" s="219" t="s">
        <v>102</v>
      </c>
      <c r="B183" s="217"/>
      <c r="C183" s="217"/>
      <c r="D183" s="202"/>
      <c r="E183" s="202"/>
      <c r="F183" s="202"/>
      <c r="G183" s="202"/>
    </row>
    <row r="184" spans="1:7" s="199" customFormat="1" ht="15">
      <c r="A184" s="217"/>
      <c r="B184" s="219" t="s">
        <v>115</v>
      </c>
      <c r="C184" s="217"/>
      <c r="D184" s="202"/>
      <c r="E184" s="202"/>
      <c r="F184" s="202"/>
      <c r="G184" s="202"/>
    </row>
    <row r="185" spans="1:7" s="199" customFormat="1" ht="15">
      <c r="A185" s="217"/>
      <c r="B185" s="217"/>
      <c r="C185" s="217" t="s">
        <v>100</v>
      </c>
      <c r="D185" s="202">
        <v>0</v>
      </c>
      <c r="E185" s="202">
        <v>0</v>
      </c>
      <c r="F185" s="202">
        <v>0</v>
      </c>
      <c r="G185" s="203">
        <f>SUM(D185:F185)</f>
        <v>0</v>
      </c>
    </row>
    <row r="186" spans="1:7" s="199" customFormat="1" ht="15">
      <c r="A186" s="217"/>
      <c r="B186" s="219" t="s">
        <v>88</v>
      </c>
      <c r="C186" s="217"/>
      <c r="D186" s="202"/>
      <c r="E186" s="202"/>
      <c r="F186" s="202"/>
      <c r="G186" s="202"/>
    </row>
    <row r="187" spans="1:7" s="199" customFormat="1" ht="15">
      <c r="A187" s="217"/>
      <c r="B187" s="217"/>
      <c r="C187" s="217" t="s">
        <v>57</v>
      </c>
      <c r="D187" s="202">
        <v>0</v>
      </c>
      <c r="E187" s="202">
        <v>0</v>
      </c>
      <c r="F187" s="202">
        <v>0</v>
      </c>
      <c r="G187" s="203">
        <f>SUM(D188:F188)</f>
        <v>0</v>
      </c>
    </row>
    <row r="188" spans="1:7" s="199" customFormat="1" ht="15">
      <c r="A188" s="217"/>
      <c r="B188" s="217"/>
      <c r="C188" s="217" t="s">
        <v>407</v>
      </c>
      <c r="D188" s="202">
        <v>0</v>
      </c>
      <c r="E188" s="202">
        <v>0</v>
      </c>
      <c r="F188" s="202">
        <v>0</v>
      </c>
      <c r="G188" s="203">
        <f>SUM(D189:F189)</f>
        <v>0</v>
      </c>
    </row>
    <row r="189" spans="1:7" s="199" customFormat="1" ht="15">
      <c r="A189" s="217"/>
      <c r="B189" s="219" t="s">
        <v>93</v>
      </c>
      <c r="C189" s="217"/>
      <c r="D189" s="202"/>
      <c r="E189" s="202"/>
      <c r="F189" s="202"/>
      <c r="G189" s="202"/>
    </row>
    <row r="190" spans="1:7" s="199" customFormat="1" ht="15">
      <c r="A190" s="217"/>
      <c r="B190" s="217"/>
      <c r="C190" s="217" t="s">
        <v>508</v>
      </c>
      <c r="D190" s="202">
        <v>0</v>
      </c>
      <c r="E190" s="202">
        <v>0</v>
      </c>
      <c r="F190" s="202">
        <v>0</v>
      </c>
      <c r="G190" s="203">
        <f aca="true" t="shared" si="4" ref="G190:G236">SUM(D190:F190)</f>
        <v>0</v>
      </c>
    </row>
    <row r="191" spans="1:7" s="199" customFormat="1" ht="15">
      <c r="A191" s="217"/>
      <c r="B191" s="217"/>
      <c r="C191" s="217" t="s">
        <v>407</v>
      </c>
      <c r="D191" s="202">
        <v>0</v>
      </c>
      <c r="E191" s="202">
        <v>0</v>
      </c>
      <c r="F191" s="202">
        <v>0</v>
      </c>
      <c r="G191" s="203">
        <f t="shared" si="4"/>
        <v>0</v>
      </c>
    </row>
    <row r="192" spans="1:7" s="199" customFormat="1" ht="15">
      <c r="A192" s="217"/>
      <c r="B192" s="219" t="s">
        <v>94</v>
      </c>
      <c r="C192" s="217"/>
      <c r="D192" s="202"/>
      <c r="E192" s="202"/>
      <c r="F192" s="202"/>
      <c r="G192" s="202"/>
    </row>
    <row r="193" spans="1:7" s="199" customFormat="1" ht="15">
      <c r="A193" s="217"/>
      <c r="B193" s="217"/>
      <c r="C193" s="217" t="s">
        <v>100</v>
      </c>
      <c r="D193" s="202">
        <v>0</v>
      </c>
      <c r="E193" s="202">
        <v>0</v>
      </c>
      <c r="F193" s="202">
        <v>0</v>
      </c>
      <c r="G193" s="203">
        <f t="shared" si="4"/>
        <v>0</v>
      </c>
    </row>
    <row r="194" spans="1:7" s="199" customFormat="1" ht="15">
      <c r="A194" s="217"/>
      <c r="B194" s="217"/>
      <c r="C194" s="217" t="s">
        <v>95</v>
      </c>
      <c r="D194" s="202">
        <v>0</v>
      </c>
      <c r="E194" s="202">
        <v>0</v>
      </c>
      <c r="F194" s="202">
        <v>0</v>
      </c>
      <c r="G194" s="203">
        <f t="shared" si="4"/>
        <v>0</v>
      </c>
    </row>
    <row r="195" spans="1:7" s="199" customFormat="1" ht="15">
      <c r="A195" s="217"/>
      <c r="B195" s="217"/>
      <c r="C195" s="217" t="s">
        <v>508</v>
      </c>
      <c r="D195" s="202">
        <v>0</v>
      </c>
      <c r="E195" s="202">
        <v>0</v>
      </c>
      <c r="F195" s="202">
        <v>0</v>
      </c>
      <c r="G195" s="203">
        <f t="shared" si="4"/>
        <v>0</v>
      </c>
    </row>
    <row r="196" spans="1:7" s="199" customFormat="1" ht="15">
      <c r="A196" s="217"/>
      <c r="B196" s="217"/>
      <c r="C196" s="217" t="s">
        <v>407</v>
      </c>
      <c r="D196" s="202">
        <v>0</v>
      </c>
      <c r="E196" s="202">
        <v>0</v>
      </c>
      <c r="F196" s="202">
        <v>0</v>
      </c>
      <c r="G196" s="203">
        <f t="shared" si="4"/>
        <v>0</v>
      </c>
    </row>
    <row r="197" spans="1:7" s="199" customFormat="1" ht="15">
      <c r="A197" s="217"/>
      <c r="B197" s="219" t="s">
        <v>96</v>
      </c>
      <c r="C197" s="217"/>
      <c r="D197" s="202"/>
      <c r="E197" s="202"/>
      <c r="F197" s="202"/>
      <c r="G197" s="202"/>
    </row>
    <row r="198" spans="1:7" s="199" customFormat="1" ht="15">
      <c r="A198" s="217"/>
      <c r="B198" s="217"/>
      <c r="C198" s="217" t="s">
        <v>66</v>
      </c>
      <c r="D198" s="202">
        <v>0</v>
      </c>
      <c r="E198" s="202">
        <v>0</v>
      </c>
      <c r="F198" s="202">
        <v>0</v>
      </c>
      <c r="G198" s="203">
        <f t="shared" si="4"/>
        <v>0</v>
      </c>
    </row>
    <row r="199" spans="1:7" s="199" customFormat="1" ht="15">
      <c r="A199" s="217"/>
      <c r="B199" s="217"/>
      <c r="C199" s="217" t="s">
        <v>95</v>
      </c>
      <c r="D199" s="202">
        <v>0</v>
      </c>
      <c r="E199" s="202">
        <v>0</v>
      </c>
      <c r="F199" s="202">
        <v>0</v>
      </c>
      <c r="G199" s="203">
        <f t="shared" si="4"/>
        <v>0</v>
      </c>
    </row>
    <row r="200" spans="1:7" s="199" customFormat="1" ht="15">
      <c r="A200" s="217"/>
      <c r="B200" s="217"/>
      <c r="C200" s="217" t="s">
        <v>57</v>
      </c>
      <c r="D200" s="202">
        <v>0</v>
      </c>
      <c r="E200" s="202">
        <v>0</v>
      </c>
      <c r="F200" s="202">
        <v>0</v>
      </c>
      <c r="G200" s="203">
        <f t="shared" si="4"/>
        <v>0</v>
      </c>
    </row>
    <row r="201" spans="1:7" s="199" customFormat="1" ht="15">
      <c r="A201" s="217"/>
      <c r="B201" s="217"/>
      <c r="C201" s="217" t="s">
        <v>407</v>
      </c>
      <c r="D201" s="202">
        <v>0</v>
      </c>
      <c r="E201" s="202">
        <v>0</v>
      </c>
      <c r="F201" s="202">
        <v>0</v>
      </c>
      <c r="G201" s="203">
        <f t="shared" si="4"/>
        <v>0</v>
      </c>
    </row>
    <row r="202" spans="1:7" s="199" customFormat="1" ht="15">
      <c r="A202" s="217"/>
      <c r="B202" s="217"/>
      <c r="C202" s="217" t="s">
        <v>508</v>
      </c>
      <c r="D202" s="202">
        <v>0</v>
      </c>
      <c r="E202" s="202">
        <v>0</v>
      </c>
      <c r="F202" s="202">
        <v>0</v>
      </c>
      <c r="G202" s="203">
        <f t="shared" si="4"/>
        <v>0</v>
      </c>
    </row>
    <row r="203" spans="1:7" s="199" customFormat="1" ht="15">
      <c r="A203" s="217"/>
      <c r="B203" s="217"/>
      <c r="C203" s="217" t="s">
        <v>100</v>
      </c>
      <c r="D203" s="202">
        <v>0</v>
      </c>
      <c r="E203" s="202">
        <v>0</v>
      </c>
      <c r="F203" s="202">
        <v>0</v>
      </c>
      <c r="G203" s="203">
        <f t="shared" si="4"/>
        <v>0</v>
      </c>
    </row>
    <row r="204" spans="1:7" s="199" customFormat="1" ht="15">
      <c r="A204" s="217"/>
      <c r="B204" s="219" t="s">
        <v>118</v>
      </c>
      <c r="C204" s="217"/>
      <c r="D204" s="202"/>
      <c r="E204" s="202"/>
      <c r="F204" s="202"/>
      <c r="G204" s="202"/>
    </row>
    <row r="205" spans="1:7" s="199" customFormat="1" ht="15">
      <c r="A205" s="217"/>
      <c r="B205" s="217"/>
      <c r="C205" s="217" t="s">
        <v>95</v>
      </c>
      <c r="D205" s="202">
        <v>0</v>
      </c>
      <c r="E205" s="202">
        <v>0</v>
      </c>
      <c r="F205" s="202">
        <v>0</v>
      </c>
      <c r="G205" s="203">
        <f t="shared" si="4"/>
        <v>0</v>
      </c>
    </row>
    <row r="206" spans="1:7" s="199" customFormat="1" ht="15">
      <c r="A206" s="217"/>
      <c r="B206" s="217"/>
      <c r="C206" s="217" t="s">
        <v>407</v>
      </c>
      <c r="D206" s="202">
        <v>0</v>
      </c>
      <c r="E206" s="202">
        <v>0</v>
      </c>
      <c r="F206" s="202">
        <v>0</v>
      </c>
      <c r="G206" s="203">
        <f t="shared" si="4"/>
        <v>0</v>
      </c>
    </row>
    <row r="207" spans="1:7" s="199" customFormat="1" ht="15">
      <c r="A207" s="217"/>
      <c r="B207" s="217"/>
      <c r="C207" s="217" t="s">
        <v>508</v>
      </c>
      <c r="D207" s="202">
        <v>0</v>
      </c>
      <c r="E207" s="202">
        <v>0</v>
      </c>
      <c r="F207" s="202">
        <v>0</v>
      </c>
      <c r="G207" s="203">
        <f t="shared" si="4"/>
        <v>0</v>
      </c>
    </row>
    <row r="208" spans="1:7" s="199" customFormat="1" ht="15">
      <c r="A208" s="217"/>
      <c r="B208" s="217"/>
      <c r="C208" s="217" t="s">
        <v>81</v>
      </c>
      <c r="D208" s="202">
        <v>0</v>
      </c>
      <c r="E208" s="202">
        <v>0</v>
      </c>
      <c r="F208" s="202">
        <v>0</v>
      </c>
      <c r="G208" s="203">
        <f t="shared" si="4"/>
        <v>0</v>
      </c>
    </row>
    <row r="209" spans="1:7" s="199" customFormat="1" ht="15">
      <c r="A209" s="217"/>
      <c r="B209" s="219" t="s">
        <v>119</v>
      </c>
      <c r="C209" s="217"/>
      <c r="D209" s="202"/>
      <c r="E209" s="202"/>
      <c r="F209" s="202"/>
      <c r="G209" s="202"/>
    </row>
    <row r="210" spans="1:7" s="199" customFormat="1" ht="15">
      <c r="A210" s="217"/>
      <c r="B210" s="217"/>
      <c r="C210" s="217" t="s">
        <v>57</v>
      </c>
      <c r="D210" s="202">
        <v>0</v>
      </c>
      <c r="E210" s="202">
        <v>0</v>
      </c>
      <c r="F210" s="202">
        <v>0</v>
      </c>
      <c r="G210" s="203">
        <f t="shared" si="4"/>
        <v>0</v>
      </c>
    </row>
    <row r="211" spans="1:7" s="199" customFormat="1" ht="15">
      <c r="A211" s="217"/>
      <c r="B211" s="217"/>
      <c r="C211" s="217" t="s">
        <v>407</v>
      </c>
      <c r="D211" s="202">
        <v>0</v>
      </c>
      <c r="E211" s="202">
        <v>0</v>
      </c>
      <c r="F211" s="202">
        <v>0</v>
      </c>
      <c r="G211" s="203">
        <f t="shared" si="4"/>
        <v>0</v>
      </c>
    </row>
    <row r="212" spans="1:7" s="199" customFormat="1" ht="15">
      <c r="A212" s="217"/>
      <c r="B212" s="217"/>
      <c r="C212" s="217" t="s">
        <v>508</v>
      </c>
      <c r="D212" s="202">
        <v>0</v>
      </c>
      <c r="E212" s="202">
        <v>0</v>
      </c>
      <c r="F212" s="202">
        <v>0</v>
      </c>
      <c r="G212" s="203">
        <f t="shared" si="4"/>
        <v>0</v>
      </c>
    </row>
    <row r="213" spans="1:7" s="199" customFormat="1" ht="15">
      <c r="A213" s="217"/>
      <c r="B213" s="219" t="s">
        <v>114</v>
      </c>
      <c r="C213" s="217"/>
      <c r="D213" s="202"/>
      <c r="E213" s="202"/>
      <c r="F213" s="202"/>
      <c r="G213" s="202"/>
    </row>
    <row r="214" spans="1:7" s="199" customFormat="1" ht="15">
      <c r="A214" s="217"/>
      <c r="B214" s="217"/>
      <c r="C214" s="217" t="s">
        <v>57</v>
      </c>
      <c r="D214" s="202">
        <v>0</v>
      </c>
      <c r="E214" s="202">
        <v>0</v>
      </c>
      <c r="F214" s="202">
        <v>0</v>
      </c>
      <c r="G214" s="203">
        <f t="shared" si="4"/>
        <v>0</v>
      </c>
    </row>
    <row r="215" spans="1:7" s="199" customFormat="1" ht="15">
      <c r="A215" s="217"/>
      <c r="B215" s="217"/>
      <c r="C215" s="217" t="s">
        <v>407</v>
      </c>
      <c r="D215" s="202">
        <v>0</v>
      </c>
      <c r="E215" s="202">
        <v>0</v>
      </c>
      <c r="F215" s="202">
        <v>0</v>
      </c>
      <c r="G215" s="203">
        <f t="shared" si="4"/>
        <v>0</v>
      </c>
    </row>
    <row r="216" spans="1:7" s="199" customFormat="1" ht="15">
      <c r="A216" s="217"/>
      <c r="B216" s="217"/>
      <c r="C216" s="217" t="s">
        <v>508</v>
      </c>
      <c r="D216" s="202">
        <v>0</v>
      </c>
      <c r="E216" s="202">
        <v>0</v>
      </c>
      <c r="F216" s="202">
        <v>0</v>
      </c>
      <c r="G216" s="203">
        <f t="shared" si="4"/>
        <v>0</v>
      </c>
    </row>
    <row r="217" spans="1:7" s="199" customFormat="1" ht="15">
      <c r="A217" s="217"/>
      <c r="B217" s="219" t="s">
        <v>98</v>
      </c>
      <c r="C217" s="217"/>
      <c r="D217" s="202"/>
      <c r="E217" s="202"/>
      <c r="F217" s="202"/>
      <c r="G217" s="202"/>
    </row>
    <row r="218" spans="1:7" s="199" customFormat="1" ht="15">
      <c r="A218" s="217"/>
      <c r="B218" s="217"/>
      <c r="C218" s="217" t="s">
        <v>67</v>
      </c>
      <c r="D218" s="202">
        <v>0</v>
      </c>
      <c r="E218" s="202">
        <v>0</v>
      </c>
      <c r="F218" s="202">
        <v>0</v>
      </c>
      <c r="G218" s="203">
        <f t="shared" si="4"/>
        <v>0</v>
      </c>
    </row>
    <row r="219" spans="1:7" s="199" customFormat="1" ht="15">
      <c r="A219" s="217"/>
      <c r="B219" s="217"/>
      <c r="C219" s="217" t="s">
        <v>140</v>
      </c>
      <c r="D219" s="202">
        <v>0</v>
      </c>
      <c r="E219" s="202">
        <v>0</v>
      </c>
      <c r="F219" s="202">
        <v>0</v>
      </c>
      <c r="G219" s="203">
        <f t="shared" si="4"/>
        <v>0</v>
      </c>
    </row>
    <row r="220" spans="1:7" s="199" customFormat="1" ht="15">
      <c r="A220" s="217"/>
      <c r="B220" s="217"/>
      <c r="C220" s="217" t="s">
        <v>74</v>
      </c>
      <c r="D220" s="202">
        <v>0</v>
      </c>
      <c r="E220" s="202">
        <v>0</v>
      </c>
      <c r="F220" s="202">
        <v>0</v>
      </c>
      <c r="G220" s="203">
        <f t="shared" si="4"/>
        <v>0</v>
      </c>
    </row>
    <row r="221" spans="1:7" s="199" customFormat="1" ht="15">
      <c r="A221" s="217"/>
      <c r="B221" s="217"/>
      <c r="C221" s="217" t="s">
        <v>75</v>
      </c>
      <c r="D221" s="202">
        <v>0</v>
      </c>
      <c r="E221" s="202">
        <v>0</v>
      </c>
      <c r="F221" s="202">
        <v>0</v>
      </c>
      <c r="G221" s="203">
        <f t="shared" si="4"/>
        <v>0</v>
      </c>
    </row>
    <row r="222" spans="1:7" s="199" customFormat="1" ht="15">
      <c r="A222" s="217"/>
      <c r="B222" s="217"/>
      <c r="C222" s="217" t="s">
        <v>76</v>
      </c>
      <c r="D222" s="202">
        <v>0</v>
      </c>
      <c r="E222" s="202">
        <v>0</v>
      </c>
      <c r="F222" s="202">
        <v>0</v>
      </c>
      <c r="G222" s="203">
        <f t="shared" si="4"/>
        <v>0</v>
      </c>
    </row>
    <row r="223" spans="1:7" s="199" customFormat="1" ht="15">
      <c r="A223" s="217"/>
      <c r="B223" s="217"/>
      <c r="C223" s="217" t="s">
        <v>95</v>
      </c>
      <c r="D223" s="202">
        <v>0</v>
      </c>
      <c r="E223" s="202">
        <v>0</v>
      </c>
      <c r="F223" s="202">
        <v>0</v>
      </c>
      <c r="G223" s="203">
        <f t="shared" si="4"/>
        <v>0</v>
      </c>
    </row>
    <row r="224" spans="1:7" s="199" customFormat="1" ht="15">
      <c r="A224" s="217"/>
      <c r="B224" s="219" t="s">
        <v>90</v>
      </c>
      <c r="C224" s="217"/>
      <c r="D224" s="202"/>
      <c r="E224" s="202"/>
      <c r="F224" s="202"/>
      <c r="G224" s="202"/>
    </row>
    <row r="225" spans="1:7" s="199" customFormat="1" ht="15">
      <c r="A225" s="217"/>
      <c r="B225" s="217"/>
      <c r="C225" s="217" t="s">
        <v>51</v>
      </c>
      <c r="D225" s="202">
        <v>0</v>
      </c>
      <c r="E225" s="202">
        <v>0</v>
      </c>
      <c r="F225" s="202">
        <v>0</v>
      </c>
      <c r="G225" s="203">
        <f t="shared" si="4"/>
        <v>0</v>
      </c>
    </row>
    <row r="226" spans="1:7" s="199" customFormat="1" ht="15">
      <c r="A226" s="217"/>
      <c r="B226" s="217"/>
      <c r="C226" s="217" t="s">
        <v>52</v>
      </c>
      <c r="D226" s="202">
        <v>0</v>
      </c>
      <c r="E226" s="202">
        <v>0</v>
      </c>
      <c r="F226" s="202">
        <v>0</v>
      </c>
      <c r="G226" s="203">
        <f t="shared" si="4"/>
        <v>0</v>
      </c>
    </row>
    <row r="227" spans="1:7" s="199" customFormat="1" ht="15">
      <c r="A227" s="217"/>
      <c r="B227" s="217"/>
      <c r="C227" s="217" t="s">
        <v>53</v>
      </c>
      <c r="D227" s="202">
        <v>0</v>
      </c>
      <c r="E227" s="202">
        <v>0</v>
      </c>
      <c r="F227" s="202">
        <v>0</v>
      </c>
      <c r="G227" s="203">
        <f t="shared" si="4"/>
        <v>0</v>
      </c>
    </row>
    <row r="228" spans="1:7" s="199" customFormat="1" ht="15">
      <c r="A228" s="217"/>
      <c r="B228" s="217"/>
      <c r="C228" s="217" t="s">
        <v>54</v>
      </c>
      <c r="D228" s="202">
        <v>0</v>
      </c>
      <c r="E228" s="202">
        <v>0</v>
      </c>
      <c r="F228" s="202">
        <v>0</v>
      </c>
      <c r="G228" s="203">
        <f t="shared" si="4"/>
        <v>0</v>
      </c>
    </row>
    <row r="229" spans="1:7" s="199" customFormat="1" ht="15">
      <c r="A229" s="217"/>
      <c r="B229" s="217"/>
      <c r="C229" s="217" t="s">
        <v>55</v>
      </c>
      <c r="D229" s="202">
        <v>0</v>
      </c>
      <c r="E229" s="202">
        <v>0</v>
      </c>
      <c r="F229" s="202">
        <v>0</v>
      </c>
      <c r="G229" s="203">
        <f t="shared" si="4"/>
        <v>0</v>
      </c>
    </row>
    <row r="230" spans="1:7" s="199" customFormat="1" ht="15">
      <c r="A230" s="217"/>
      <c r="B230" s="217"/>
      <c r="C230" s="217" t="s">
        <v>68</v>
      </c>
      <c r="D230" s="202"/>
      <c r="E230" s="202"/>
      <c r="F230" s="202"/>
      <c r="G230" s="203">
        <f t="shared" si="4"/>
        <v>0</v>
      </c>
    </row>
    <row r="231" spans="1:7" ht="15">
      <c r="A231" s="77"/>
      <c r="B231" s="77"/>
      <c r="C231" s="77" t="s">
        <v>69</v>
      </c>
      <c r="D231" s="202">
        <v>0</v>
      </c>
      <c r="E231" s="202">
        <v>0</v>
      </c>
      <c r="F231" s="202">
        <v>0</v>
      </c>
      <c r="G231" s="85">
        <f t="shared" si="4"/>
        <v>0</v>
      </c>
    </row>
    <row r="232" spans="1:7" ht="15">
      <c r="A232" s="77"/>
      <c r="B232" s="77"/>
      <c r="C232" s="77" t="s">
        <v>70</v>
      </c>
      <c r="D232" s="202">
        <v>0</v>
      </c>
      <c r="E232" s="202">
        <v>0</v>
      </c>
      <c r="F232" s="202">
        <v>0</v>
      </c>
      <c r="G232" s="85">
        <f t="shared" si="4"/>
        <v>0</v>
      </c>
    </row>
    <row r="233" spans="1:7" ht="15">
      <c r="A233" s="77"/>
      <c r="B233" s="77"/>
      <c r="C233" s="77" t="s">
        <v>71</v>
      </c>
      <c r="D233" s="202">
        <v>0</v>
      </c>
      <c r="E233" s="202">
        <v>0</v>
      </c>
      <c r="F233" s="202">
        <v>0</v>
      </c>
      <c r="G233" s="85">
        <f t="shared" si="4"/>
        <v>0</v>
      </c>
    </row>
    <row r="234" spans="1:7" ht="15">
      <c r="A234" s="77"/>
      <c r="B234" s="77"/>
      <c r="C234" s="77" t="s">
        <v>77</v>
      </c>
      <c r="D234" s="202">
        <v>0</v>
      </c>
      <c r="E234" s="202">
        <v>0</v>
      </c>
      <c r="F234" s="202">
        <v>0</v>
      </c>
      <c r="G234" s="85">
        <f t="shared" si="4"/>
        <v>0</v>
      </c>
    </row>
    <row r="235" spans="1:7" ht="15">
      <c r="A235" s="77"/>
      <c r="B235" s="77"/>
      <c r="C235" s="77" t="s">
        <v>91</v>
      </c>
      <c r="D235" s="202">
        <v>0</v>
      </c>
      <c r="E235" s="202">
        <v>0</v>
      </c>
      <c r="F235" s="202">
        <v>0</v>
      </c>
      <c r="G235" s="85">
        <f t="shared" si="4"/>
        <v>0</v>
      </c>
    </row>
    <row r="236" spans="1:7" ht="15">
      <c r="A236" s="77"/>
      <c r="B236" s="77"/>
      <c r="C236" s="77" t="s">
        <v>56</v>
      </c>
      <c r="D236" s="202">
        <v>0</v>
      </c>
      <c r="E236" s="202">
        <v>0</v>
      </c>
      <c r="F236" s="202">
        <v>0</v>
      </c>
      <c r="G236" s="85">
        <f t="shared" si="4"/>
        <v>0</v>
      </c>
    </row>
    <row r="237" spans="1:7" ht="15.75" thickBot="1">
      <c r="A237" s="220"/>
      <c r="B237" s="221" t="s">
        <v>110</v>
      </c>
      <c r="C237" s="220"/>
      <c r="D237" s="206">
        <f>SUM(D185:D236)</f>
        <v>0</v>
      </c>
      <c r="E237" s="206">
        <f>SUM(E185:E236)</f>
        <v>0</v>
      </c>
      <c r="F237" s="206">
        <f>SUM(F185:F236)</f>
        <v>0</v>
      </c>
      <c r="G237" s="206">
        <f>SUM(G185:G236)</f>
        <v>0</v>
      </c>
    </row>
    <row r="238" spans="1:9" ht="15">
      <c r="A238" s="77"/>
      <c r="B238" s="77"/>
      <c r="C238" s="101"/>
      <c r="D238" s="76"/>
      <c r="E238" s="76"/>
      <c r="F238" s="76"/>
      <c r="G238" s="76"/>
      <c r="I238" s="77"/>
    </row>
    <row r="239" spans="1:7" s="199" customFormat="1" ht="15">
      <c r="A239" s="219" t="s">
        <v>111</v>
      </c>
      <c r="B239" s="217"/>
      <c r="C239" s="217"/>
      <c r="D239" s="202"/>
      <c r="E239" s="202"/>
      <c r="F239" s="202"/>
      <c r="G239" s="202"/>
    </row>
    <row r="240" spans="1:7" s="199" customFormat="1" ht="15">
      <c r="A240" s="217"/>
      <c r="B240" s="219" t="s">
        <v>115</v>
      </c>
      <c r="C240" s="217"/>
      <c r="D240" s="202"/>
      <c r="E240" s="202"/>
      <c r="F240" s="202"/>
      <c r="G240" s="202"/>
    </row>
    <row r="241" spans="1:7" s="199" customFormat="1" ht="15">
      <c r="A241" s="217"/>
      <c r="B241" s="217"/>
      <c r="C241" s="217" t="s">
        <v>100</v>
      </c>
      <c r="D241" s="202">
        <v>0</v>
      </c>
      <c r="E241" s="202">
        <v>0</v>
      </c>
      <c r="F241" s="202">
        <v>0</v>
      </c>
      <c r="G241" s="203">
        <f>SUM(D241:F241)</f>
        <v>0</v>
      </c>
    </row>
    <row r="242" spans="1:7" s="199" customFormat="1" ht="15">
      <c r="A242" s="217"/>
      <c r="B242" s="219" t="s">
        <v>88</v>
      </c>
      <c r="C242" s="217"/>
      <c r="D242" s="202"/>
      <c r="E242" s="202"/>
      <c r="F242" s="202"/>
      <c r="G242" s="202"/>
    </row>
    <row r="243" spans="1:7" s="199" customFormat="1" ht="15">
      <c r="A243" s="217"/>
      <c r="B243" s="217"/>
      <c r="C243" s="217" t="s">
        <v>406</v>
      </c>
      <c r="D243" s="202">
        <v>0</v>
      </c>
      <c r="E243" s="202">
        <v>0</v>
      </c>
      <c r="F243" s="202">
        <v>0</v>
      </c>
      <c r="G243" s="203">
        <f aca="true" t="shared" si="5" ref="G243:G292">SUM(D243:F243)</f>
        <v>0</v>
      </c>
    </row>
    <row r="244" spans="1:7" s="199" customFormat="1" ht="15">
      <c r="A244" s="217"/>
      <c r="B244" s="217"/>
      <c r="C244" s="217" t="s">
        <v>57</v>
      </c>
      <c r="D244" s="202">
        <v>0</v>
      </c>
      <c r="E244" s="202">
        <v>0</v>
      </c>
      <c r="F244" s="202">
        <v>0</v>
      </c>
      <c r="G244" s="203">
        <f t="shared" si="5"/>
        <v>0</v>
      </c>
    </row>
    <row r="245" spans="1:7" s="199" customFormat="1" ht="15">
      <c r="A245" s="217"/>
      <c r="B245" s="219" t="s">
        <v>93</v>
      </c>
      <c r="C245" s="217"/>
      <c r="D245" s="202"/>
      <c r="E245" s="202"/>
      <c r="F245" s="202"/>
      <c r="G245" s="202"/>
    </row>
    <row r="246" spans="1:7" s="199" customFormat="1" ht="15">
      <c r="A246" s="217"/>
      <c r="B246" s="217"/>
      <c r="C246" s="217" t="s">
        <v>508</v>
      </c>
      <c r="D246" s="202">
        <v>0</v>
      </c>
      <c r="E246" s="202">
        <v>0</v>
      </c>
      <c r="F246" s="202">
        <v>0</v>
      </c>
      <c r="G246" s="203">
        <f t="shared" si="5"/>
        <v>0</v>
      </c>
    </row>
    <row r="247" spans="1:7" s="199" customFormat="1" ht="15">
      <c r="A247" s="217"/>
      <c r="B247" s="217"/>
      <c r="C247" s="217" t="s">
        <v>406</v>
      </c>
      <c r="D247" s="202">
        <v>0</v>
      </c>
      <c r="E247" s="202">
        <v>0</v>
      </c>
      <c r="F247" s="202">
        <v>0</v>
      </c>
      <c r="G247" s="203">
        <f t="shared" si="5"/>
        <v>0</v>
      </c>
    </row>
    <row r="248" spans="1:7" s="199" customFormat="1" ht="15">
      <c r="A248" s="217"/>
      <c r="B248" s="219" t="s">
        <v>94</v>
      </c>
      <c r="C248" s="217"/>
      <c r="D248" s="202"/>
      <c r="E248" s="202"/>
      <c r="F248" s="202"/>
      <c r="G248" s="202"/>
    </row>
    <row r="249" spans="1:7" s="199" customFormat="1" ht="15">
      <c r="A249" s="217"/>
      <c r="B249" s="217"/>
      <c r="C249" s="217" t="s">
        <v>100</v>
      </c>
      <c r="D249" s="202">
        <v>0</v>
      </c>
      <c r="E249" s="202">
        <v>0</v>
      </c>
      <c r="F249" s="202">
        <v>0</v>
      </c>
      <c r="G249" s="203">
        <f t="shared" si="5"/>
        <v>0</v>
      </c>
    </row>
    <row r="250" spans="1:7" s="199" customFormat="1" ht="15">
      <c r="A250" s="217"/>
      <c r="B250" s="217"/>
      <c r="C250" s="217" t="s">
        <v>95</v>
      </c>
      <c r="D250" s="202">
        <v>0</v>
      </c>
      <c r="E250" s="202">
        <v>0</v>
      </c>
      <c r="F250" s="202">
        <v>0</v>
      </c>
      <c r="G250" s="203">
        <f t="shared" si="5"/>
        <v>0</v>
      </c>
    </row>
    <row r="251" spans="1:7" s="199" customFormat="1" ht="15">
      <c r="A251" s="217"/>
      <c r="B251" s="217"/>
      <c r="C251" s="217" t="s">
        <v>508</v>
      </c>
      <c r="D251" s="202">
        <v>0</v>
      </c>
      <c r="E251" s="202">
        <v>0</v>
      </c>
      <c r="F251" s="202">
        <v>0</v>
      </c>
      <c r="G251" s="203">
        <f t="shared" si="5"/>
        <v>0</v>
      </c>
    </row>
    <row r="252" spans="1:7" s="199" customFormat="1" ht="15">
      <c r="A252" s="217"/>
      <c r="B252" s="217"/>
      <c r="C252" s="217" t="s">
        <v>407</v>
      </c>
      <c r="D252" s="202">
        <v>0</v>
      </c>
      <c r="E252" s="202">
        <v>0</v>
      </c>
      <c r="F252" s="202">
        <v>0</v>
      </c>
      <c r="G252" s="203">
        <f t="shared" si="5"/>
        <v>0</v>
      </c>
    </row>
    <row r="253" spans="1:7" s="199" customFormat="1" ht="15">
      <c r="A253" s="217"/>
      <c r="B253" s="219" t="s">
        <v>96</v>
      </c>
      <c r="C253" s="217"/>
      <c r="D253" s="202"/>
      <c r="E253" s="202"/>
      <c r="F253" s="202"/>
      <c r="G253" s="202"/>
    </row>
    <row r="254" spans="1:7" s="199" customFormat="1" ht="15">
      <c r="A254" s="217"/>
      <c r="B254" s="217"/>
      <c r="C254" s="217" t="s">
        <v>66</v>
      </c>
      <c r="D254" s="202">
        <v>0</v>
      </c>
      <c r="E254" s="202">
        <v>0</v>
      </c>
      <c r="F254" s="202">
        <v>0</v>
      </c>
      <c r="G254" s="203">
        <f t="shared" si="5"/>
        <v>0</v>
      </c>
    </row>
    <row r="255" spans="1:7" s="199" customFormat="1" ht="15">
      <c r="A255" s="217"/>
      <c r="B255" s="217"/>
      <c r="C255" s="217" t="s">
        <v>95</v>
      </c>
      <c r="D255" s="202">
        <v>0</v>
      </c>
      <c r="E255" s="202">
        <v>0</v>
      </c>
      <c r="F255" s="202">
        <v>0</v>
      </c>
      <c r="G255" s="203">
        <f t="shared" si="5"/>
        <v>0</v>
      </c>
    </row>
    <row r="256" spans="1:7" s="199" customFormat="1" ht="15">
      <c r="A256" s="217"/>
      <c r="B256" s="217"/>
      <c r="C256" s="217" t="s">
        <v>57</v>
      </c>
      <c r="D256" s="202">
        <v>0</v>
      </c>
      <c r="E256" s="202">
        <v>0</v>
      </c>
      <c r="F256" s="202">
        <v>0</v>
      </c>
      <c r="G256" s="203">
        <f t="shared" si="5"/>
        <v>0</v>
      </c>
    </row>
    <row r="257" spans="1:7" s="199" customFormat="1" ht="15">
      <c r="A257" s="217"/>
      <c r="B257" s="217"/>
      <c r="C257" s="217" t="s">
        <v>407</v>
      </c>
      <c r="D257" s="202">
        <v>0</v>
      </c>
      <c r="E257" s="202">
        <v>0</v>
      </c>
      <c r="F257" s="202">
        <v>0</v>
      </c>
      <c r="G257" s="203">
        <f t="shared" si="5"/>
        <v>0</v>
      </c>
    </row>
    <row r="258" spans="1:7" s="199" customFormat="1" ht="15">
      <c r="A258" s="217"/>
      <c r="B258" s="217"/>
      <c r="C258" s="217" t="s">
        <v>508</v>
      </c>
      <c r="D258" s="202">
        <v>0</v>
      </c>
      <c r="E258" s="202">
        <v>0</v>
      </c>
      <c r="F258" s="202">
        <v>0</v>
      </c>
      <c r="G258" s="203">
        <f t="shared" si="5"/>
        <v>0</v>
      </c>
    </row>
    <row r="259" spans="1:7" s="199" customFormat="1" ht="15">
      <c r="A259" s="217"/>
      <c r="B259" s="217"/>
      <c r="C259" s="217" t="s">
        <v>100</v>
      </c>
      <c r="D259" s="202">
        <v>0</v>
      </c>
      <c r="E259" s="202">
        <v>0</v>
      </c>
      <c r="F259" s="202">
        <v>0</v>
      </c>
      <c r="G259" s="203">
        <f t="shared" si="5"/>
        <v>0</v>
      </c>
    </row>
    <row r="260" spans="1:7" s="199" customFormat="1" ht="15">
      <c r="A260" s="217"/>
      <c r="B260" s="219" t="s">
        <v>118</v>
      </c>
      <c r="C260" s="217"/>
      <c r="D260" s="202"/>
      <c r="E260" s="202"/>
      <c r="F260" s="202"/>
      <c r="G260" s="202"/>
    </row>
    <row r="261" spans="1:7" s="199" customFormat="1" ht="15">
      <c r="A261" s="217"/>
      <c r="B261" s="217"/>
      <c r="C261" s="217" t="s">
        <v>95</v>
      </c>
      <c r="D261" s="202">
        <v>0</v>
      </c>
      <c r="E261" s="202">
        <v>0</v>
      </c>
      <c r="F261" s="202">
        <v>0</v>
      </c>
      <c r="G261" s="203">
        <f t="shared" si="5"/>
        <v>0</v>
      </c>
    </row>
    <row r="262" spans="1:7" s="199" customFormat="1" ht="15">
      <c r="A262" s="217"/>
      <c r="B262" s="217"/>
      <c r="C262" s="217" t="s">
        <v>407</v>
      </c>
      <c r="D262" s="202">
        <v>0</v>
      </c>
      <c r="E262" s="202">
        <v>0</v>
      </c>
      <c r="F262" s="202">
        <v>0</v>
      </c>
      <c r="G262" s="203">
        <f t="shared" si="5"/>
        <v>0</v>
      </c>
    </row>
    <row r="263" spans="1:7" s="199" customFormat="1" ht="15">
      <c r="A263" s="217"/>
      <c r="B263" s="217"/>
      <c r="C263" s="217" t="s">
        <v>81</v>
      </c>
      <c r="D263" s="202">
        <v>0</v>
      </c>
      <c r="E263" s="202">
        <v>0</v>
      </c>
      <c r="F263" s="202">
        <v>0</v>
      </c>
      <c r="G263" s="203">
        <f t="shared" si="5"/>
        <v>0</v>
      </c>
    </row>
    <row r="264" spans="1:7" s="199" customFormat="1" ht="15">
      <c r="A264" s="217"/>
      <c r="B264" s="217"/>
      <c r="C264" s="217" t="s">
        <v>508</v>
      </c>
      <c r="D264" s="202">
        <v>0</v>
      </c>
      <c r="E264" s="202">
        <v>0</v>
      </c>
      <c r="F264" s="202">
        <v>0</v>
      </c>
      <c r="G264" s="203">
        <f t="shared" si="5"/>
        <v>0</v>
      </c>
    </row>
    <row r="265" spans="1:7" s="199" customFormat="1" ht="15">
      <c r="A265" s="217"/>
      <c r="B265" s="219" t="s">
        <v>119</v>
      </c>
      <c r="C265" s="217"/>
      <c r="D265" s="202"/>
      <c r="E265" s="202"/>
      <c r="F265" s="202"/>
      <c r="G265" s="202"/>
    </row>
    <row r="266" spans="1:7" s="199" customFormat="1" ht="15">
      <c r="A266" s="217"/>
      <c r="B266" s="217"/>
      <c r="C266" s="217" t="s">
        <v>57</v>
      </c>
      <c r="D266" s="202">
        <v>0</v>
      </c>
      <c r="E266" s="202">
        <v>0</v>
      </c>
      <c r="F266" s="202">
        <v>0</v>
      </c>
      <c r="G266" s="203">
        <f t="shared" si="5"/>
        <v>0</v>
      </c>
    </row>
    <row r="267" spans="1:7" s="199" customFormat="1" ht="15">
      <c r="A267" s="217"/>
      <c r="B267" s="217"/>
      <c r="C267" s="217" t="s">
        <v>407</v>
      </c>
      <c r="D267" s="202">
        <v>0</v>
      </c>
      <c r="E267" s="202">
        <v>0</v>
      </c>
      <c r="F267" s="202">
        <v>0</v>
      </c>
      <c r="G267" s="203">
        <f t="shared" si="5"/>
        <v>0</v>
      </c>
    </row>
    <row r="268" spans="1:7" s="199" customFormat="1" ht="15">
      <c r="A268" s="217"/>
      <c r="B268" s="217"/>
      <c r="C268" s="217" t="s">
        <v>508</v>
      </c>
      <c r="D268" s="202">
        <v>0</v>
      </c>
      <c r="E268" s="202">
        <v>0</v>
      </c>
      <c r="F268" s="202">
        <v>0</v>
      </c>
      <c r="G268" s="203">
        <f t="shared" si="5"/>
        <v>0</v>
      </c>
    </row>
    <row r="269" spans="1:7" s="199" customFormat="1" ht="15">
      <c r="A269" s="217"/>
      <c r="B269" s="219" t="s">
        <v>114</v>
      </c>
      <c r="C269" s="217"/>
      <c r="D269" s="202"/>
      <c r="E269" s="202"/>
      <c r="F269" s="202"/>
      <c r="G269" s="202"/>
    </row>
    <row r="270" spans="1:7" s="199" customFormat="1" ht="15">
      <c r="A270" s="217"/>
      <c r="B270" s="217"/>
      <c r="C270" s="217" t="s">
        <v>57</v>
      </c>
      <c r="D270" s="202">
        <v>0</v>
      </c>
      <c r="E270" s="202">
        <v>0</v>
      </c>
      <c r="F270" s="202">
        <v>0</v>
      </c>
      <c r="G270" s="203">
        <f t="shared" si="5"/>
        <v>0</v>
      </c>
    </row>
    <row r="271" spans="1:7" s="199" customFormat="1" ht="15">
      <c r="A271" s="217"/>
      <c r="B271" s="217"/>
      <c r="C271" s="217" t="s">
        <v>407</v>
      </c>
      <c r="D271" s="202">
        <v>0</v>
      </c>
      <c r="E271" s="202">
        <v>0</v>
      </c>
      <c r="F271" s="202">
        <v>0</v>
      </c>
      <c r="G271" s="203">
        <f t="shared" si="5"/>
        <v>0</v>
      </c>
    </row>
    <row r="272" spans="1:7" s="199" customFormat="1" ht="15">
      <c r="A272" s="217"/>
      <c r="B272" s="217"/>
      <c r="C272" s="217" t="s">
        <v>508</v>
      </c>
      <c r="D272" s="202">
        <v>0</v>
      </c>
      <c r="E272" s="202">
        <v>0</v>
      </c>
      <c r="F272" s="202">
        <v>0</v>
      </c>
      <c r="G272" s="203">
        <f t="shared" si="5"/>
        <v>0</v>
      </c>
    </row>
    <row r="273" spans="1:7" s="199" customFormat="1" ht="15">
      <c r="A273" s="217"/>
      <c r="B273" s="219" t="s">
        <v>98</v>
      </c>
      <c r="C273" s="217"/>
      <c r="D273" s="202"/>
      <c r="E273" s="202"/>
      <c r="F273" s="202"/>
      <c r="G273" s="202"/>
    </row>
    <row r="274" spans="1:7" s="199" customFormat="1" ht="15">
      <c r="A274" s="217"/>
      <c r="B274" s="217"/>
      <c r="C274" s="217" t="s">
        <v>82</v>
      </c>
      <c r="D274" s="202">
        <v>0</v>
      </c>
      <c r="E274" s="202">
        <v>0</v>
      </c>
      <c r="F274" s="202">
        <v>0</v>
      </c>
      <c r="G274" s="203">
        <f t="shared" si="5"/>
        <v>0</v>
      </c>
    </row>
    <row r="275" spans="1:7" s="199" customFormat="1" ht="15">
      <c r="A275" s="217"/>
      <c r="B275" s="217"/>
      <c r="C275" s="217" t="s">
        <v>140</v>
      </c>
      <c r="D275" s="202">
        <v>0</v>
      </c>
      <c r="E275" s="202">
        <v>0</v>
      </c>
      <c r="F275" s="202">
        <v>0</v>
      </c>
      <c r="G275" s="203">
        <f t="shared" si="5"/>
        <v>0</v>
      </c>
    </row>
    <row r="276" spans="1:7" s="199" customFormat="1" ht="15">
      <c r="A276" s="217"/>
      <c r="B276" s="217"/>
      <c r="C276" s="217" t="s">
        <v>74</v>
      </c>
      <c r="D276" s="202">
        <v>0</v>
      </c>
      <c r="E276" s="202">
        <v>0</v>
      </c>
      <c r="F276" s="202">
        <v>0</v>
      </c>
      <c r="G276" s="203">
        <f t="shared" si="5"/>
        <v>0</v>
      </c>
    </row>
    <row r="277" spans="1:7" s="199" customFormat="1" ht="15">
      <c r="A277" s="217"/>
      <c r="B277" s="217"/>
      <c r="C277" s="217" t="s">
        <v>75</v>
      </c>
      <c r="D277" s="202">
        <v>0</v>
      </c>
      <c r="E277" s="202">
        <v>0</v>
      </c>
      <c r="F277" s="202">
        <v>0</v>
      </c>
      <c r="G277" s="203">
        <f t="shared" si="5"/>
        <v>0</v>
      </c>
    </row>
    <row r="278" spans="1:7" s="199" customFormat="1" ht="15">
      <c r="A278" s="217"/>
      <c r="B278" s="217"/>
      <c r="C278" s="217" t="s">
        <v>76</v>
      </c>
      <c r="D278" s="202">
        <v>0</v>
      </c>
      <c r="E278" s="202">
        <v>0</v>
      </c>
      <c r="F278" s="202">
        <v>0</v>
      </c>
      <c r="G278" s="203">
        <f t="shared" si="5"/>
        <v>0</v>
      </c>
    </row>
    <row r="279" spans="1:7" s="199" customFormat="1" ht="15">
      <c r="A279" s="217"/>
      <c r="B279" s="217"/>
      <c r="C279" s="217" t="s">
        <v>95</v>
      </c>
      <c r="D279" s="202">
        <v>0</v>
      </c>
      <c r="E279" s="202">
        <v>0</v>
      </c>
      <c r="F279" s="202">
        <v>0</v>
      </c>
      <c r="G279" s="203">
        <f t="shared" si="5"/>
        <v>0</v>
      </c>
    </row>
    <row r="280" spans="1:7" s="199" customFormat="1" ht="15">
      <c r="A280" s="217"/>
      <c r="B280" s="219" t="s">
        <v>90</v>
      </c>
      <c r="C280" s="217"/>
      <c r="D280" s="202"/>
      <c r="E280" s="202"/>
      <c r="F280" s="202"/>
      <c r="G280" s="202"/>
    </row>
    <row r="281" spans="1:7" s="199" customFormat="1" ht="15">
      <c r="A281" s="217"/>
      <c r="B281" s="217"/>
      <c r="C281" s="217" t="s">
        <v>51</v>
      </c>
      <c r="D281" s="202">
        <v>0</v>
      </c>
      <c r="E281" s="202">
        <v>0</v>
      </c>
      <c r="F281" s="202">
        <v>0</v>
      </c>
      <c r="G281" s="203">
        <f t="shared" si="5"/>
        <v>0</v>
      </c>
    </row>
    <row r="282" spans="1:7" s="199" customFormat="1" ht="15">
      <c r="A282" s="217"/>
      <c r="B282" s="217"/>
      <c r="C282" s="217" t="s">
        <v>52</v>
      </c>
      <c r="D282" s="202">
        <v>0</v>
      </c>
      <c r="E282" s="202">
        <v>0</v>
      </c>
      <c r="F282" s="202">
        <v>0</v>
      </c>
      <c r="G282" s="203">
        <f t="shared" si="5"/>
        <v>0</v>
      </c>
    </row>
    <row r="283" spans="1:7" s="199" customFormat="1" ht="15">
      <c r="A283" s="217"/>
      <c r="B283" s="217"/>
      <c r="C283" s="217" t="s">
        <v>53</v>
      </c>
      <c r="D283" s="202">
        <v>0</v>
      </c>
      <c r="E283" s="202">
        <v>0</v>
      </c>
      <c r="F283" s="202">
        <v>0</v>
      </c>
      <c r="G283" s="203">
        <f t="shared" si="5"/>
        <v>0</v>
      </c>
    </row>
    <row r="284" spans="1:7" s="199" customFormat="1" ht="15">
      <c r="A284" s="217"/>
      <c r="B284" s="217"/>
      <c r="C284" s="217" t="s">
        <v>54</v>
      </c>
      <c r="D284" s="202">
        <v>0</v>
      </c>
      <c r="E284" s="202">
        <v>0</v>
      </c>
      <c r="F284" s="202">
        <v>0</v>
      </c>
      <c r="G284" s="203">
        <f t="shared" si="5"/>
        <v>0</v>
      </c>
    </row>
    <row r="285" spans="1:7" s="199" customFormat="1" ht="15">
      <c r="A285" s="217"/>
      <c r="B285" s="217"/>
      <c r="C285" s="217" t="s">
        <v>55</v>
      </c>
      <c r="D285" s="202">
        <v>0</v>
      </c>
      <c r="E285" s="202">
        <v>0</v>
      </c>
      <c r="F285" s="202">
        <v>0</v>
      </c>
      <c r="G285" s="203">
        <f t="shared" si="5"/>
        <v>0</v>
      </c>
    </row>
    <row r="286" spans="1:7" s="199" customFormat="1" ht="15">
      <c r="A286" s="217"/>
      <c r="B286" s="217"/>
      <c r="C286" s="217" t="s">
        <v>68</v>
      </c>
      <c r="D286" s="202"/>
      <c r="E286" s="202"/>
      <c r="F286" s="202"/>
      <c r="G286" s="203">
        <f t="shared" si="5"/>
        <v>0</v>
      </c>
    </row>
    <row r="287" spans="1:7" ht="15">
      <c r="A287" s="77"/>
      <c r="B287" s="77"/>
      <c r="C287" s="77" t="s">
        <v>69</v>
      </c>
      <c r="D287" s="202">
        <v>0</v>
      </c>
      <c r="E287" s="202">
        <v>0</v>
      </c>
      <c r="F287" s="202">
        <v>0</v>
      </c>
      <c r="G287" s="85">
        <f t="shared" si="5"/>
        <v>0</v>
      </c>
    </row>
    <row r="288" spans="1:7" ht="15">
      <c r="A288" s="77"/>
      <c r="B288" s="77"/>
      <c r="C288" s="77" t="s">
        <v>70</v>
      </c>
      <c r="D288" s="202">
        <v>0</v>
      </c>
      <c r="E288" s="202">
        <v>0</v>
      </c>
      <c r="F288" s="202">
        <v>0</v>
      </c>
      <c r="G288" s="85">
        <f t="shared" si="5"/>
        <v>0</v>
      </c>
    </row>
    <row r="289" spans="1:7" ht="15">
      <c r="A289" s="77"/>
      <c r="B289" s="77"/>
      <c r="C289" s="77" t="s">
        <v>71</v>
      </c>
      <c r="D289" s="202">
        <v>0</v>
      </c>
      <c r="E289" s="202">
        <v>0</v>
      </c>
      <c r="F289" s="202">
        <v>0</v>
      </c>
      <c r="G289" s="85">
        <f t="shared" si="5"/>
        <v>0</v>
      </c>
    </row>
    <row r="290" spans="1:7" ht="15">
      <c r="A290" s="77"/>
      <c r="B290" s="77"/>
      <c r="C290" s="77" t="s">
        <v>72</v>
      </c>
      <c r="D290" s="202">
        <v>0</v>
      </c>
      <c r="E290" s="202">
        <v>0</v>
      </c>
      <c r="F290" s="202">
        <v>0</v>
      </c>
      <c r="G290" s="85">
        <f t="shared" si="5"/>
        <v>0</v>
      </c>
    </row>
    <row r="291" spans="1:7" ht="15">
      <c r="A291" s="77"/>
      <c r="B291" s="77"/>
      <c r="C291" s="77" t="s">
        <v>91</v>
      </c>
      <c r="D291" s="202">
        <v>0</v>
      </c>
      <c r="E291" s="202">
        <v>0</v>
      </c>
      <c r="F291" s="202">
        <v>0</v>
      </c>
      <c r="G291" s="85">
        <f t="shared" si="5"/>
        <v>0</v>
      </c>
    </row>
    <row r="292" spans="1:7" ht="15">
      <c r="A292" s="77"/>
      <c r="B292" s="77"/>
      <c r="C292" s="77" t="s">
        <v>56</v>
      </c>
      <c r="D292" s="202">
        <v>0</v>
      </c>
      <c r="E292" s="202">
        <v>0</v>
      </c>
      <c r="F292" s="202">
        <v>0</v>
      </c>
      <c r="G292" s="85">
        <f t="shared" si="5"/>
        <v>0</v>
      </c>
    </row>
    <row r="293" spans="1:7" ht="15.75" thickBot="1">
      <c r="A293" s="220"/>
      <c r="B293" s="221" t="s">
        <v>112</v>
      </c>
      <c r="C293" s="220"/>
      <c r="D293" s="206">
        <f>SUM(D241:D292)</f>
        <v>0</v>
      </c>
      <c r="E293" s="206">
        <f>SUM(E241:E292)</f>
        <v>0</v>
      </c>
      <c r="F293" s="206">
        <f>SUM(F241:F292)</f>
        <v>0</v>
      </c>
      <c r="G293" s="206">
        <f>SUM(G241:G292)</f>
        <v>0</v>
      </c>
    </row>
  </sheetData>
  <sheetProtection password="96BD" sheet="1"/>
  <mergeCells count="3">
    <mergeCell ref="A7:B7"/>
    <mergeCell ref="C1:G1"/>
    <mergeCell ref="C2:G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00CC00"/>
  </sheetPr>
  <dimension ref="B1:H55"/>
  <sheetViews>
    <sheetView zoomScalePageLayoutView="0" workbookViewId="0" topLeftCell="A22">
      <selection activeCell="F53" sqref="F53"/>
    </sheetView>
  </sheetViews>
  <sheetFormatPr defaultColWidth="9.140625" defaultRowHeight="15"/>
  <cols>
    <col min="1" max="1" width="9.140625" style="75" customWidth="1"/>
    <col min="2" max="2" width="15.7109375" style="75" customWidth="1"/>
    <col min="3" max="3" width="15.57421875" style="75" customWidth="1"/>
    <col min="4" max="5" width="12.7109375" style="75" customWidth="1"/>
    <col min="6" max="6" width="10.7109375" style="75" customWidth="1"/>
    <col min="7" max="7" width="12.7109375" style="75" customWidth="1"/>
    <col min="8" max="8" width="10.421875" style="75" customWidth="1"/>
    <col min="9" max="16384" width="9.140625" style="75" customWidth="1"/>
  </cols>
  <sheetData>
    <row r="1" spans="2:8" ht="15">
      <c r="B1" s="236" t="s">
        <v>121</v>
      </c>
      <c r="C1" s="236"/>
      <c r="D1" s="236"/>
      <c r="E1" s="236"/>
      <c r="F1" s="236"/>
      <c r="G1" s="236"/>
      <c r="H1" s="80"/>
    </row>
    <row r="2" spans="2:8" ht="15">
      <c r="B2" s="236" t="s">
        <v>123</v>
      </c>
      <c r="C2" s="236"/>
      <c r="D2" s="236"/>
      <c r="E2" s="236"/>
      <c r="F2" s="236"/>
      <c r="G2" s="236"/>
      <c r="H2" s="80"/>
    </row>
    <row r="3" spans="2:8" ht="15.75" thickBot="1">
      <c r="B3" s="80"/>
      <c r="C3" s="80"/>
      <c r="D3" s="80"/>
      <c r="E3" s="80"/>
      <c r="F3" s="80"/>
      <c r="G3" s="80"/>
      <c r="H3" s="80"/>
    </row>
    <row r="4" spans="2:8" ht="15">
      <c r="B4" s="83" t="s">
        <v>413</v>
      </c>
      <c r="C4" s="80"/>
      <c r="D4" s="80"/>
      <c r="E4" s="80"/>
      <c r="H4" s="106" t="s">
        <v>106</v>
      </c>
    </row>
    <row r="5" spans="2:8" ht="15">
      <c r="B5" s="83" t="s">
        <v>412</v>
      </c>
      <c r="F5" s="88" t="s">
        <v>1</v>
      </c>
      <c r="G5" s="88" t="s">
        <v>414</v>
      </c>
      <c r="H5" s="107" t="s">
        <v>105</v>
      </c>
    </row>
    <row r="6" spans="2:8" ht="15">
      <c r="B6" s="75" t="s">
        <v>0</v>
      </c>
      <c r="D6" s="108">
        <v>0</v>
      </c>
      <c r="F6" s="109" t="s">
        <v>104</v>
      </c>
      <c r="G6" s="88" t="s">
        <v>415</v>
      </c>
      <c r="H6" s="109" t="s">
        <v>103</v>
      </c>
    </row>
    <row r="7" spans="2:8" ht="15">
      <c r="B7" s="75" t="s">
        <v>3</v>
      </c>
      <c r="D7" s="98">
        <v>0</v>
      </c>
      <c r="E7" s="88"/>
      <c r="F7" s="107" t="s">
        <v>15</v>
      </c>
      <c r="G7" s="88">
        <v>0</v>
      </c>
      <c r="H7" s="130">
        <f>IF(D8=0,0,G7/D8)</f>
        <v>0</v>
      </c>
    </row>
    <row r="8" spans="2:8" ht="15">
      <c r="B8" s="75" t="s">
        <v>6</v>
      </c>
      <c r="D8" s="133">
        <f>D6*D7</f>
        <v>0</v>
      </c>
      <c r="E8" s="88"/>
      <c r="F8" s="88" t="s">
        <v>16</v>
      </c>
      <c r="G8" s="88">
        <v>0</v>
      </c>
      <c r="H8" s="130">
        <f>IF(D8=0,0,G8/D8)</f>
        <v>0</v>
      </c>
    </row>
    <row r="9" spans="2:8" ht="15">
      <c r="B9" s="75" t="s">
        <v>416</v>
      </c>
      <c r="D9" s="75">
        <v>0</v>
      </c>
      <c r="F9" s="88" t="s">
        <v>2</v>
      </c>
      <c r="G9" s="88">
        <v>0</v>
      </c>
      <c r="H9" s="130">
        <f>IF(D8=0,0,G9/D8)</f>
        <v>0</v>
      </c>
    </row>
    <row r="10" spans="2:8" ht="15.75" thickBot="1">
      <c r="B10" s="75" t="s">
        <v>5</v>
      </c>
      <c r="D10" s="134">
        <f>IF(D8=0,0,D9/D8)</f>
        <v>0</v>
      </c>
      <c r="F10" s="110" t="s">
        <v>4</v>
      </c>
      <c r="G10" s="110">
        <v>0</v>
      </c>
      <c r="H10" s="131">
        <f>IF(D8=0,0,G10/D8)</f>
        <v>0</v>
      </c>
    </row>
    <row r="11" spans="5:8" ht="15">
      <c r="E11" s="75" t="s">
        <v>7</v>
      </c>
      <c r="G11" s="132">
        <f>SUM(G7:G10)</f>
        <v>0</v>
      </c>
      <c r="H11" s="130">
        <f>SUM(H7:H10)</f>
        <v>0</v>
      </c>
    </row>
    <row r="12" ht="16.5" customHeight="1"/>
    <row r="13" ht="15.75" thickBot="1">
      <c r="B13" s="83" t="s">
        <v>122</v>
      </c>
    </row>
    <row r="14" spans="2:7" ht="15.75" thickBot="1">
      <c r="B14" s="112"/>
      <c r="C14" s="106" t="s">
        <v>10</v>
      </c>
      <c r="D14" s="106" t="s">
        <v>11</v>
      </c>
      <c r="E14" s="106" t="s">
        <v>8</v>
      </c>
      <c r="F14" s="238" t="s">
        <v>120</v>
      </c>
      <c r="G14" s="238"/>
    </row>
    <row r="15" spans="2:7" ht="15.75" thickBot="1">
      <c r="B15" s="113" t="s">
        <v>9</v>
      </c>
      <c r="C15" s="110" t="s">
        <v>424</v>
      </c>
      <c r="D15" s="110" t="s">
        <v>83</v>
      </c>
      <c r="E15" s="110" t="s">
        <v>12</v>
      </c>
      <c r="F15" s="110" t="s">
        <v>10</v>
      </c>
      <c r="G15" s="110" t="s">
        <v>11</v>
      </c>
    </row>
    <row r="16" spans="2:7" ht="15">
      <c r="B16" s="75" t="s">
        <v>13</v>
      </c>
      <c r="C16" s="78">
        <f>'Your Red Maple Costs'!G28</f>
        <v>0</v>
      </c>
      <c r="D16" s="78">
        <f>C16</f>
        <v>0</v>
      </c>
      <c r="E16" s="111">
        <v>0</v>
      </c>
      <c r="F16" s="138">
        <f aca="true" t="shared" si="0" ref="F16:F21">IF(E16=0,0,C16/E16)</f>
        <v>0</v>
      </c>
      <c r="G16" s="138">
        <f>F16</f>
        <v>0</v>
      </c>
    </row>
    <row r="17" spans="2:7" ht="15">
      <c r="B17" s="75" t="s">
        <v>14</v>
      </c>
      <c r="C17" s="78">
        <f>'Your Red Maple Costs'!G81</f>
        <v>0</v>
      </c>
      <c r="D17" s="78">
        <f>C16+C17</f>
        <v>0</v>
      </c>
      <c r="E17" s="111">
        <v>0</v>
      </c>
      <c r="F17" s="138">
        <f t="shared" si="0"/>
        <v>0</v>
      </c>
      <c r="G17" s="138">
        <f>SUM(G16+F17)</f>
        <v>0</v>
      </c>
    </row>
    <row r="18" spans="2:7" ht="15">
      <c r="B18" s="75" t="s">
        <v>15</v>
      </c>
      <c r="C18" s="78">
        <f>'Your Red Maple Costs'!G124</f>
        <v>0</v>
      </c>
      <c r="D18" s="78">
        <f>SUM(C16:C18)</f>
        <v>0</v>
      </c>
      <c r="E18" s="111">
        <v>0</v>
      </c>
      <c r="F18" s="138">
        <f t="shared" si="0"/>
        <v>0</v>
      </c>
      <c r="G18" s="139">
        <f>SUM(G17+F18)</f>
        <v>0</v>
      </c>
    </row>
    <row r="19" spans="2:7" ht="15">
      <c r="B19" s="75" t="s">
        <v>16</v>
      </c>
      <c r="C19" s="78">
        <f>'Your Red Maple Costs'!G181</f>
        <v>0</v>
      </c>
      <c r="D19" s="78">
        <f>SUM(C16:C19)</f>
        <v>0</v>
      </c>
      <c r="E19" s="111">
        <v>0</v>
      </c>
      <c r="F19" s="138">
        <f t="shared" si="0"/>
        <v>0</v>
      </c>
      <c r="G19" s="139">
        <f>SUM(G18+F19)</f>
        <v>0</v>
      </c>
    </row>
    <row r="20" spans="2:7" ht="15">
      <c r="B20" s="75" t="s">
        <v>2</v>
      </c>
      <c r="C20" s="78">
        <f>'Your Red Maple Costs'!G237</f>
        <v>0</v>
      </c>
      <c r="D20" s="78">
        <f>SUM(C16:C20)</f>
        <v>0</v>
      </c>
      <c r="E20" s="111">
        <v>0</v>
      </c>
      <c r="F20" s="138">
        <f t="shared" si="0"/>
        <v>0</v>
      </c>
      <c r="G20" s="139">
        <f>SUM(G19+F20)</f>
        <v>0</v>
      </c>
    </row>
    <row r="21" spans="2:7" ht="15.75" thickBot="1">
      <c r="B21" s="75" t="s">
        <v>4</v>
      </c>
      <c r="C21" s="135">
        <f>'Your Red Maple Costs'!G293</f>
        <v>0</v>
      </c>
      <c r="D21" s="137">
        <f>SUM(C16:C21)</f>
        <v>0</v>
      </c>
      <c r="E21" s="111">
        <v>0</v>
      </c>
      <c r="F21" s="138">
        <f t="shared" si="0"/>
        <v>0</v>
      </c>
      <c r="G21" s="139">
        <f>SUM(G20+F21)</f>
        <v>0</v>
      </c>
    </row>
    <row r="22" spans="2:7" ht="15">
      <c r="B22" s="114" t="s">
        <v>17</v>
      </c>
      <c r="C22" s="136">
        <f>SUM(C16:C21)</f>
        <v>0</v>
      </c>
      <c r="D22" s="114"/>
      <c r="E22" s="107">
        <v>0</v>
      </c>
      <c r="F22" s="115"/>
      <c r="G22" s="115"/>
    </row>
    <row r="23" spans="2:7" ht="15.75" thickBot="1">
      <c r="B23" s="116" t="s">
        <v>18</v>
      </c>
      <c r="C23" s="113"/>
      <c r="D23" s="113"/>
      <c r="E23" s="117"/>
      <c r="F23" s="118"/>
      <c r="G23" s="140">
        <f>IF(G11=0,0,C22/G11)</f>
        <v>0</v>
      </c>
    </row>
    <row r="24" spans="2:7" ht="15">
      <c r="B24" s="160" t="s">
        <v>425</v>
      </c>
      <c r="C24" s="114"/>
      <c r="D24" s="114"/>
      <c r="E24" s="158"/>
      <c r="F24" s="115"/>
      <c r="G24" s="159"/>
    </row>
    <row r="25" ht="15.75" thickBot="1">
      <c r="D25" s="119"/>
    </row>
    <row r="26" spans="2:7" ht="15">
      <c r="B26" s="120" t="s">
        <v>19</v>
      </c>
      <c r="C26" s="106" t="s">
        <v>1</v>
      </c>
      <c r="D26" s="112"/>
      <c r="E26" s="121" t="s">
        <v>27</v>
      </c>
      <c r="F26" s="106" t="s">
        <v>21</v>
      </c>
      <c r="G26" s="112"/>
    </row>
    <row r="27" spans="3:7" ht="15.75" thickBot="1">
      <c r="C27" s="110" t="s">
        <v>9</v>
      </c>
      <c r="D27" s="113"/>
      <c r="E27" s="110" t="s">
        <v>22</v>
      </c>
      <c r="F27" s="110" t="s">
        <v>23</v>
      </c>
      <c r="G27" s="110" t="s">
        <v>24</v>
      </c>
    </row>
    <row r="28" spans="3:7" ht="15">
      <c r="C28" s="107" t="s">
        <v>15</v>
      </c>
      <c r="D28" s="114"/>
      <c r="E28" s="132">
        <f>$D$8*H7</f>
        <v>0</v>
      </c>
      <c r="F28" s="153">
        <f>G18</f>
        <v>0</v>
      </c>
      <c r="G28" s="78">
        <f>E28*F28</f>
        <v>0</v>
      </c>
    </row>
    <row r="29" spans="3:7" ht="15">
      <c r="C29" s="88" t="s">
        <v>16</v>
      </c>
      <c r="E29" s="132">
        <f>$D$8*H8</f>
        <v>0</v>
      </c>
      <c r="F29" s="153">
        <f>G19</f>
        <v>0</v>
      </c>
      <c r="G29" s="78">
        <f>E29*F29</f>
        <v>0</v>
      </c>
    </row>
    <row r="30" spans="3:7" ht="15">
      <c r="C30" s="88" t="s">
        <v>2</v>
      </c>
      <c r="E30" s="132">
        <f>$D$8*H9</f>
        <v>0</v>
      </c>
      <c r="F30" s="153">
        <f>G20</f>
        <v>0</v>
      </c>
      <c r="G30" s="78">
        <f>E30*F30</f>
        <v>0</v>
      </c>
    </row>
    <row r="31" spans="3:7" ht="15.75" thickBot="1">
      <c r="C31" s="88" t="s">
        <v>4</v>
      </c>
      <c r="E31" s="132">
        <f>$D$8*H10</f>
        <v>0</v>
      </c>
      <c r="F31" s="153">
        <f>G21</f>
        <v>0</v>
      </c>
      <c r="G31" s="135">
        <f>E31*F31</f>
        <v>0</v>
      </c>
    </row>
    <row r="32" spans="3:7" ht="15.75" thickBot="1">
      <c r="C32" s="122" t="s">
        <v>17</v>
      </c>
      <c r="D32" s="123"/>
      <c r="E32" s="157">
        <f>SUM(E28:E31)</f>
        <v>0</v>
      </c>
      <c r="F32" s="124"/>
      <c r="G32" s="154">
        <f>SUM(G28:G31)</f>
        <v>0</v>
      </c>
    </row>
    <row r="33" ht="15">
      <c r="F33" s="79"/>
    </row>
    <row r="34" spans="3:7" ht="15.75" thickBot="1">
      <c r="C34" s="113" t="s">
        <v>18</v>
      </c>
      <c r="D34" s="113"/>
      <c r="E34" s="147">
        <f>SUM(E28:E31)</f>
        <v>0</v>
      </c>
      <c r="F34" s="156">
        <f>G23</f>
        <v>0</v>
      </c>
      <c r="G34" s="155">
        <f>E34*F34</f>
        <v>0</v>
      </c>
    </row>
    <row r="35" ht="7.5" customHeight="1"/>
    <row r="36" spans="2:3" ht="15.75" thickBot="1">
      <c r="B36" s="83" t="s">
        <v>423</v>
      </c>
      <c r="C36" s="120" t="s">
        <v>419</v>
      </c>
    </row>
    <row r="37" spans="2:7" ht="15">
      <c r="B37" s="112"/>
      <c r="C37" s="106" t="s">
        <v>421</v>
      </c>
      <c r="D37" s="106" t="s">
        <v>8</v>
      </c>
      <c r="E37" s="106"/>
      <c r="F37" s="106" t="s">
        <v>26</v>
      </c>
      <c r="G37" s="106" t="s">
        <v>27</v>
      </c>
    </row>
    <row r="38" spans="2:7" ht="15.75" thickBot="1">
      <c r="B38" s="110" t="s">
        <v>9</v>
      </c>
      <c r="C38" s="110" t="s">
        <v>422</v>
      </c>
      <c r="D38" s="110" t="s">
        <v>418</v>
      </c>
      <c r="E38" s="110" t="s">
        <v>29</v>
      </c>
      <c r="F38" s="110" t="s">
        <v>30</v>
      </c>
      <c r="G38" s="110" t="s">
        <v>31</v>
      </c>
    </row>
    <row r="39" spans="2:7" ht="15">
      <c r="B39" s="107" t="s">
        <v>15</v>
      </c>
      <c r="C39" s="141"/>
      <c r="D39" s="111">
        <v>0</v>
      </c>
      <c r="E39" s="107" t="s">
        <v>417</v>
      </c>
      <c r="F39" s="125">
        <v>65</v>
      </c>
      <c r="G39" s="144">
        <f>D39*F39</f>
        <v>0</v>
      </c>
    </row>
    <row r="40" spans="2:7" ht="15">
      <c r="B40" s="107" t="s">
        <v>15</v>
      </c>
      <c r="C40" s="141">
        <f>IF($G$11=0,0,(D39+D40)/$G$11)</f>
        <v>0</v>
      </c>
      <c r="D40" s="111">
        <v>0</v>
      </c>
      <c r="E40" s="107" t="s">
        <v>78</v>
      </c>
      <c r="F40" s="125">
        <v>80</v>
      </c>
      <c r="G40" s="144">
        <f aca="true" t="shared" si="1" ref="G40:G47">D40*F40</f>
        <v>0</v>
      </c>
    </row>
    <row r="41" spans="2:7" ht="15">
      <c r="B41" s="88" t="s">
        <v>16</v>
      </c>
      <c r="C41" s="141"/>
      <c r="D41" s="111">
        <v>0</v>
      </c>
      <c r="E41" s="88" t="s">
        <v>417</v>
      </c>
      <c r="F41" s="125">
        <v>65</v>
      </c>
      <c r="G41" s="144">
        <f t="shared" si="1"/>
        <v>0</v>
      </c>
    </row>
    <row r="42" spans="2:7" ht="15">
      <c r="B42" s="88" t="s">
        <v>16</v>
      </c>
      <c r="C42" s="141">
        <f>IF($G$11=0,0,(D41+D42)/$G$11)</f>
        <v>0</v>
      </c>
      <c r="D42" s="111">
        <v>0</v>
      </c>
      <c r="E42" s="88" t="s">
        <v>78</v>
      </c>
      <c r="F42" s="125">
        <v>80</v>
      </c>
      <c r="G42" s="144">
        <f t="shared" si="1"/>
        <v>0</v>
      </c>
    </row>
    <row r="43" spans="2:7" ht="15">
      <c r="B43" s="88" t="s">
        <v>2</v>
      </c>
      <c r="C43" s="141"/>
      <c r="D43" s="111">
        <v>0</v>
      </c>
      <c r="E43" s="88" t="s">
        <v>79</v>
      </c>
      <c r="F43" s="125">
        <v>150</v>
      </c>
      <c r="G43" s="144">
        <f t="shared" si="1"/>
        <v>0</v>
      </c>
    </row>
    <row r="44" spans="2:7" ht="15">
      <c r="B44" s="88" t="s">
        <v>2</v>
      </c>
      <c r="C44" s="141">
        <f>IF($G$11=0,0,(D43+D44)/$G$11)</f>
        <v>0</v>
      </c>
      <c r="D44" s="111">
        <v>0</v>
      </c>
      <c r="E44" s="88" t="s">
        <v>80</v>
      </c>
      <c r="F44" s="125">
        <v>200</v>
      </c>
      <c r="G44" s="144">
        <f t="shared" si="1"/>
        <v>0</v>
      </c>
    </row>
    <row r="45" spans="2:7" ht="15">
      <c r="B45" s="88" t="s">
        <v>4</v>
      </c>
      <c r="C45" s="141"/>
      <c r="D45" s="111">
        <v>0</v>
      </c>
      <c r="E45" s="88" t="s">
        <v>79</v>
      </c>
      <c r="F45" s="125">
        <v>150</v>
      </c>
      <c r="G45" s="144">
        <f t="shared" si="1"/>
        <v>0</v>
      </c>
    </row>
    <row r="46" spans="2:7" ht="15">
      <c r="B46" s="88" t="s">
        <v>4</v>
      </c>
      <c r="C46" s="141"/>
      <c r="D46" s="126">
        <v>0</v>
      </c>
      <c r="E46" s="88" t="s">
        <v>80</v>
      </c>
      <c r="F46" s="125">
        <v>200</v>
      </c>
      <c r="G46" s="144">
        <f t="shared" si="1"/>
        <v>0</v>
      </c>
    </row>
    <row r="47" spans="2:7" ht="15">
      <c r="B47" s="109" t="s">
        <v>4</v>
      </c>
      <c r="C47" s="142">
        <f>IF($G$11=0,0,(D45+D46+D47)/$G$11)</f>
        <v>0</v>
      </c>
      <c r="D47" s="109">
        <v>0</v>
      </c>
      <c r="E47" s="109" t="s">
        <v>420</v>
      </c>
      <c r="F47" s="127">
        <v>0</v>
      </c>
      <c r="G47" s="145">
        <f t="shared" si="1"/>
        <v>0</v>
      </c>
    </row>
    <row r="48" spans="2:7" ht="15.75" thickBot="1">
      <c r="B48" s="110" t="s">
        <v>17</v>
      </c>
      <c r="C48" s="143">
        <f>IF($G$11=0,0,(D47+D48)/$G$11)</f>
        <v>0</v>
      </c>
      <c r="D48" s="147">
        <f>SUM(D39:D47)</f>
        <v>0</v>
      </c>
      <c r="E48" s="110"/>
      <c r="F48" s="110"/>
      <c r="G48" s="146">
        <f>SUM(G39:G47)</f>
        <v>0</v>
      </c>
    </row>
    <row r="49" ht="6" customHeight="1"/>
    <row r="50" spans="2:6" ht="15.75" thickBot="1">
      <c r="B50" s="128" t="s">
        <v>92</v>
      </c>
      <c r="C50" s="128"/>
      <c r="D50" s="128"/>
      <c r="E50" s="128"/>
      <c r="F50" s="91"/>
    </row>
    <row r="51" spans="2:6" ht="15">
      <c r="B51" s="128"/>
      <c r="C51" s="129"/>
      <c r="D51" s="106" t="s">
        <v>25</v>
      </c>
      <c r="E51" s="106"/>
      <c r="F51" s="106"/>
    </row>
    <row r="52" spans="3:6" ht="15.75" thickBot="1">
      <c r="C52" s="114"/>
      <c r="D52" s="110" t="s">
        <v>32</v>
      </c>
      <c r="E52" s="110" t="s">
        <v>33</v>
      </c>
      <c r="F52" s="110" t="s">
        <v>141</v>
      </c>
    </row>
    <row r="53" spans="3:6" ht="15">
      <c r="C53" s="114" t="s">
        <v>34</v>
      </c>
      <c r="D53" s="148">
        <f>G48</f>
        <v>0</v>
      </c>
      <c r="E53" s="148">
        <f>IF(D7=0,0,D53/D7)</f>
        <v>0</v>
      </c>
      <c r="F53" s="149">
        <f>IF(G11=0,0,D53/G11)</f>
        <v>0</v>
      </c>
    </row>
    <row r="54" spans="3:6" ht="15">
      <c r="C54" s="75" t="s">
        <v>35</v>
      </c>
      <c r="D54" s="150">
        <f>G34</f>
        <v>0</v>
      </c>
      <c r="E54" s="150">
        <f>IF(D7=0,0,D54/D7)</f>
        <v>0</v>
      </c>
      <c r="F54" s="150">
        <f>IF(G11=0,0,D54/G11)</f>
        <v>0</v>
      </c>
    </row>
    <row r="55" spans="3:6" ht="15.75" thickBot="1">
      <c r="C55" s="113" t="s">
        <v>36</v>
      </c>
      <c r="D55" s="151">
        <f>D53-D54</f>
        <v>0</v>
      </c>
      <c r="E55" s="151">
        <f>E53-E54</f>
        <v>0</v>
      </c>
      <c r="F55" s="152">
        <f>IF(G11=0,0,D55/G11)</f>
        <v>0</v>
      </c>
    </row>
  </sheetData>
  <sheetProtection password="96BD" sheet="1"/>
  <mergeCells count="3">
    <mergeCell ref="B1:G1"/>
    <mergeCell ref="B2:G2"/>
    <mergeCell ref="F14:G14"/>
  </mergeCells>
  <printOptions/>
  <pageMargins left="0.7" right="0.7" top="0.75" bottom="0.75" header="0.3" footer="0.3"/>
  <pageSetup horizontalDpi="200" verticalDpi="200" orientation="portrait" scale="84" r:id="rId3"/>
  <legacyDrawing r:id="rId2"/>
</worksheet>
</file>

<file path=xl/worksheets/sheet7.xml><?xml version="1.0" encoding="utf-8"?>
<worksheet xmlns="http://schemas.openxmlformats.org/spreadsheetml/2006/main" xmlns:r="http://schemas.openxmlformats.org/officeDocument/2006/relationships">
  <sheetPr>
    <tabColor theme="9" tint="-0.24997000396251678"/>
  </sheetPr>
  <dimension ref="A1:L50"/>
  <sheetViews>
    <sheetView zoomScale="70" zoomScaleNormal="70" zoomScalePageLayoutView="0" workbookViewId="0" topLeftCell="A4">
      <selection activeCell="O39" sqref="O39"/>
    </sheetView>
  </sheetViews>
  <sheetFormatPr defaultColWidth="9.140625" defaultRowHeight="15"/>
  <cols>
    <col min="1" max="1" width="36.8515625" style="68" bestFit="1" customWidth="1"/>
    <col min="2" max="2" width="12.7109375" style="68" bestFit="1" customWidth="1"/>
    <col min="3" max="3" width="13.8515625" style="68" bestFit="1" customWidth="1"/>
    <col min="4" max="4" width="13.421875" style="68" bestFit="1" customWidth="1"/>
    <col min="5" max="5" width="20.140625" style="68" bestFit="1" customWidth="1"/>
    <col min="6" max="6" width="34.28125" style="68" bestFit="1" customWidth="1"/>
    <col min="7" max="7" width="32.140625" style="68" bestFit="1" customWidth="1"/>
    <col min="8" max="8" width="25.8515625" style="68" bestFit="1" customWidth="1"/>
    <col min="9" max="9" width="15.140625" style="68" bestFit="1" customWidth="1"/>
    <col min="10" max="10" width="15.28125" style="68" bestFit="1" customWidth="1"/>
    <col min="11" max="16384" width="9.140625" style="68" customWidth="1"/>
  </cols>
  <sheetData>
    <row r="1" spans="1:12" ht="28.5">
      <c r="A1" s="239" t="s">
        <v>399</v>
      </c>
      <c r="B1" s="239"/>
      <c r="C1" s="239"/>
      <c r="D1" s="239"/>
      <c r="E1" s="239"/>
      <c r="F1" s="239"/>
      <c r="G1" s="239"/>
      <c r="H1" s="239"/>
      <c r="I1" s="239"/>
      <c r="J1" s="239"/>
      <c r="K1" s="239"/>
      <c r="L1" s="239"/>
    </row>
    <row r="2" s="74" customFormat="1" ht="15"/>
    <row r="3" spans="1:10" ht="18.75">
      <c r="A3" s="71" t="s">
        <v>203</v>
      </c>
      <c r="B3" s="71" t="s">
        <v>194</v>
      </c>
      <c r="C3" s="71" t="s">
        <v>195</v>
      </c>
      <c r="D3" s="71" t="s">
        <v>196</v>
      </c>
      <c r="E3" s="71" t="s">
        <v>398</v>
      </c>
      <c r="F3" s="71" t="s">
        <v>234</v>
      </c>
      <c r="G3" s="71" t="s">
        <v>197</v>
      </c>
      <c r="H3" s="71" t="s">
        <v>198</v>
      </c>
      <c r="I3" s="71" t="s">
        <v>199</v>
      </c>
      <c r="J3" s="71" t="s">
        <v>200</v>
      </c>
    </row>
    <row r="4" spans="1:10" s="69" customFormat="1" ht="21">
      <c r="A4" s="86" t="s">
        <v>155</v>
      </c>
      <c r="B4" s="73">
        <v>6</v>
      </c>
      <c r="C4" s="73" t="s">
        <v>156</v>
      </c>
      <c r="D4" s="73" t="s">
        <v>156</v>
      </c>
      <c r="E4" s="73" t="s">
        <v>156</v>
      </c>
      <c r="F4" s="73" t="s">
        <v>156</v>
      </c>
      <c r="G4" s="73" t="s">
        <v>156</v>
      </c>
      <c r="H4" s="73" t="s">
        <v>156</v>
      </c>
      <c r="I4" s="73" t="s">
        <v>156</v>
      </c>
      <c r="J4" s="73" t="s">
        <v>147</v>
      </c>
    </row>
    <row r="5" spans="1:10" s="69" customFormat="1" ht="21">
      <c r="A5" s="86" t="s">
        <v>157</v>
      </c>
      <c r="B5" s="73" t="s">
        <v>153</v>
      </c>
      <c r="C5" s="73" t="s">
        <v>147</v>
      </c>
      <c r="D5" s="73" t="s">
        <v>149</v>
      </c>
      <c r="E5" s="73" t="s">
        <v>149</v>
      </c>
      <c r="F5" s="73" t="s">
        <v>156</v>
      </c>
      <c r="G5" s="73" t="s">
        <v>156</v>
      </c>
      <c r="H5" s="73" t="s">
        <v>158</v>
      </c>
      <c r="I5" s="73" t="s">
        <v>147</v>
      </c>
      <c r="J5" s="73" t="s">
        <v>156</v>
      </c>
    </row>
    <row r="6" spans="1:10" s="69" customFormat="1" ht="21">
      <c r="A6" s="86" t="s">
        <v>159</v>
      </c>
      <c r="B6" s="73" t="s">
        <v>160</v>
      </c>
      <c r="C6" s="73" t="s">
        <v>156</v>
      </c>
      <c r="D6" s="73" t="s">
        <v>156</v>
      </c>
      <c r="E6" s="73" t="s">
        <v>156</v>
      </c>
      <c r="F6" s="73" t="s">
        <v>156</v>
      </c>
      <c r="G6" s="73" t="s">
        <v>156</v>
      </c>
      <c r="H6" s="73" t="s">
        <v>156</v>
      </c>
      <c r="I6" s="73" t="s">
        <v>156</v>
      </c>
      <c r="J6" s="73" t="s">
        <v>147</v>
      </c>
    </row>
    <row r="7" spans="1:10" s="69" customFormat="1" ht="21">
      <c r="A7" s="86" t="s">
        <v>161</v>
      </c>
      <c r="B7" s="73" t="s">
        <v>152</v>
      </c>
      <c r="C7" s="73" t="s">
        <v>149</v>
      </c>
      <c r="D7" s="73" t="s">
        <v>147</v>
      </c>
      <c r="E7" s="73" t="s">
        <v>147</v>
      </c>
      <c r="F7" s="73" t="s">
        <v>156</v>
      </c>
      <c r="G7" s="73" t="s">
        <v>156</v>
      </c>
      <c r="H7" s="73" t="s">
        <v>156</v>
      </c>
      <c r="I7" s="73" t="s">
        <v>154</v>
      </c>
      <c r="J7" s="73" t="s">
        <v>156</v>
      </c>
    </row>
    <row r="8" spans="1:10" s="69" customFormat="1" ht="21">
      <c r="A8" s="86" t="s">
        <v>162</v>
      </c>
      <c r="B8" s="73" t="s">
        <v>163</v>
      </c>
      <c r="C8" s="73" t="s">
        <v>149</v>
      </c>
      <c r="D8" s="73" t="s">
        <v>149</v>
      </c>
      <c r="E8" s="73" t="s">
        <v>149</v>
      </c>
      <c r="F8" s="73" t="s">
        <v>156</v>
      </c>
      <c r="G8" s="73" t="s">
        <v>156</v>
      </c>
      <c r="H8" s="73" t="s">
        <v>156</v>
      </c>
      <c r="I8" s="73" t="s">
        <v>158</v>
      </c>
      <c r="J8" s="73" t="s">
        <v>156</v>
      </c>
    </row>
    <row r="9" spans="1:10" s="69" customFormat="1" ht="21">
      <c r="A9" s="86" t="s">
        <v>189</v>
      </c>
      <c r="B9" s="73">
        <v>11</v>
      </c>
      <c r="C9" s="73" t="s">
        <v>147</v>
      </c>
      <c r="D9" s="73" t="s">
        <v>156</v>
      </c>
      <c r="E9" s="73" t="s">
        <v>156</v>
      </c>
      <c r="F9" s="73" t="s">
        <v>156</v>
      </c>
      <c r="G9" s="73" t="s">
        <v>156</v>
      </c>
      <c r="H9" s="73" t="s">
        <v>156</v>
      </c>
      <c r="I9" s="73" t="s">
        <v>156</v>
      </c>
      <c r="J9" s="73" t="s">
        <v>156</v>
      </c>
    </row>
    <row r="10" spans="1:10" s="69" customFormat="1" ht="21">
      <c r="A10" s="86" t="s">
        <v>164</v>
      </c>
      <c r="B10" s="73" t="s">
        <v>163</v>
      </c>
      <c r="C10" s="73" t="s">
        <v>156</v>
      </c>
      <c r="D10" s="73" t="s">
        <v>156</v>
      </c>
      <c r="E10" s="73" t="s">
        <v>156</v>
      </c>
      <c r="F10" s="73" t="s">
        <v>156</v>
      </c>
      <c r="G10" s="73" t="s">
        <v>156</v>
      </c>
      <c r="H10" s="73" t="s">
        <v>156</v>
      </c>
      <c r="I10" s="73" t="s">
        <v>156</v>
      </c>
      <c r="J10" s="73" t="s">
        <v>147</v>
      </c>
    </row>
    <row r="11" spans="1:10" s="69" customFormat="1" ht="21">
      <c r="A11" s="86" t="s">
        <v>148</v>
      </c>
      <c r="B11" s="73" t="s">
        <v>151</v>
      </c>
      <c r="C11" s="73" t="s">
        <v>147</v>
      </c>
      <c r="D11" s="73" t="s">
        <v>154</v>
      </c>
      <c r="E11" s="73" t="s">
        <v>154</v>
      </c>
      <c r="F11" s="73" t="s">
        <v>149</v>
      </c>
      <c r="G11" s="73" t="s">
        <v>149</v>
      </c>
      <c r="H11" s="73" t="s">
        <v>147</v>
      </c>
      <c r="I11" s="73" t="s">
        <v>147</v>
      </c>
      <c r="J11" s="73" t="s">
        <v>149</v>
      </c>
    </row>
    <row r="12" spans="1:10" s="69" customFormat="1" ht="21">
      <c r="A12" s="86" t="s">
        <v>150</v>
      </c>
      <c r="B12" s="73">
        <v>16</v>
      </c>
      <c r="C12" s="73" t="s">
        <v>156</v>
      </c>
      <c r="D12" s="73" t="s">
        <v>147</v>
      </c>
      <c r="E12" s="73" t="s">
        <v>147</v>
      </c>
      <c r="F12" s="73" t="s">
        <v>156</v>
      </c>
      <c r="G12" s="73" t="s">
        <v>156</v>
      </c>
      <c r="H12" s="73" t="s">
        <v>156</v>
      </c>
      <c r="I12" s="73" t="s">
        <v>158</v>
      </c>
      <c r="J12" s="73" t="s">
        <v>156</v>
      </c>
    </row>
    <row r="13" spans="1:10" s="69" customFormat="1" ht="21">
      <c r="A13" s="86" t="s">
        <v>165</v>
      </c>
      <c r="B13" s="73" t="s">
        <v>166</v>
      </c>
      <c r="C13" s="73" t="s">
        <v>147</v>
      </c>
      <c r="D13" s="73" t="s">
        <v>147</v>
      </c>
      <c r="E13" s="73" t="s">
        <v>149</v>
      </c>
      <c r="F13" s="73" t="s">
        <v>156</v>
      </c>
      <c r="G13" s="73" t="s">
        <v>156</v>
      </c>
      <c r="H13" s="73" t="s">
        <v>147</v>
      </c>
      <c r="I13" s="73" t="s">
        <v>158</v>
      </c>
      <c r="J13" s="73" t="s">
        <v>156</v>
      </c>
    </row>
    <row r="14" spans="1:10" s="69" customFormat="1" ht="21">
      <c r="A14" s="86" t="s">
        <v>400</v>
      </c>
      <c r="B14" s="73">
        <v>13</v>
      </c>
      <c r="C14" s="73" t="s">
        <v>158</v>
      </c>
      <c r="D14" s="73" t="s">
        <v>156</v>
      </c>
      <c r="E14" s="73" t="s">
        <v>156</v>
      </c>
      <c r="F14" s="73" t="s">
        <v>156</v>
      </c>
      <c r="G14" s="73" t="s">
        <v>156</v>
      </c>
      <c r="H14" s="73" t="s">
        <v>156</v>
      </c>
      <c r="I14" s="73" t="s">
        <v>156</v>
      </c>
      <c r="J14" s="73" t="s">
        <v>147</v>
      </c>
    </row>
    <row r="15" spans="1:10" s="69" customFormat="1" ht="21">
      <c r="A15" s="86" t="s">
        <v>168</v>
      </c>
      <c r="B15" s="73" t="s">
        <v>153</v>
      </c>
      <c r="C15" s="73" t="s">
        <v>147</v>
      </c>
      <c r="D15" s="73" t="s">
        <v>149</v>
      </c>
      <c r="E15" s="73" t="s">
        <v>149</v>
      </c>
      <c r="F15" s="73" t="s">
        <v>147</v>
      </c>
      <c r="G15" s="73" t="s">
        <v>149</v>
      </c>
      <c r="H15" s="73" t="s">
        <v>147</v>
      </c>
      <c r="I15" s="73" t="s">
        <v>147</v>
      </c>
      <c r="J15" s="73" t="s">
        <v>158</v>
      </c>
    </row>
    <row r="16" spans="1:10" s="69" customFormat="1" ht="21">
      <c r="A16" s="86" t="s">
        <v>169</v>
      </c>
      <c r="B16" s="73" t="s">
        <v>170</v>
      </c>
      <c r="C16" s="73" t="s">
        <v>156</v>
      </c>
      <c r="D16" s="73" t="s">
        <v>156</v>
      </c>
      <c r="E16" s="73" t="s">
        <v>156</v>
      </c>
      <c r="F16" s="73" t="s">
        <v>156</v>
      </c>
      <c r="G16" s="73" t="s">
        <v>156</v>
      </c>
      <c r="H16" s="73" t="s">
        <v>156</v>
      </c>
      <c r="I16" s="73" t="s">
        <v>156</v>
      </c>
      <c r="J16" s="73" t="s">
        <v>147</v>
      </c>
    </row>
    <row r="17" spans="1:10" s="69" customFormat="1" ht="21">
      <c r="A17" s="86" t="s">
        <v>171</v>
      </c>
      <c r="B17" s="73" t="s">
        <v>172</v>
      </c>
      <c r="C17" s="73" t="s">
        <v>156</v>
      </c>
      <c r="D17" s="73" t="s">
        <v>156</v>
      </c>
      <c r="E17" s="73" t="s">
        <v>156</v>
      </c>
      <c r="F17" s="73" t="s">
        <v>156</v>
      </c>
      <c r="G17" s="73" t="s">
        <v>156</v>
      </c>
      <c r="H17" s="73" t="s">
        <v>156</v>
      </c>
      <c r="I17" s="73" t="s">
        <v>156</v>
      </c>
      <c r="J17" s="73" t="s">
        <v>147</v>
      </c>
    </row>
    <row r="18" spans="1:10" s="69" customFormat="1" ht="21">
      <c r="A18" s="86" t="s">
        <v>173</v>
      </c>
      <c r="B18" s="73" t="s">
        <v>170</v>
      </c>
      <c r="C18" s="73" t="s">
        <v>156</v>
      </c>
      <c r="D18" s="73" t="s">
        <v>156</v>
      </c>
      <c r="E18" s="73" t="s">
        <v>156</v>
      </c>
      <c r="F18" s="73" t="s">
        <v>156</v>
      </c>
      <c r="G18" s="73" t="s">
        <v>156</v>
      </c>
      <c r="H18" s="73" t="s">
        <v>156</v>
      </c>
      <c r="I18" s="73" t="s">
        <v>156</v>
      </c>
      <c r="J18" s="73" t="s">
        <v>147</v>
      </c>
    </row>
    <row r="19" spans="1:10" s="69" customFormat="1" ht="21">
      <c r="A19" s="86" t="s">
        <v>193</v>
      </c>
      <c r="B19" s="73" t="s">
        <v>174</v>
      </c>
      <c r="C19" s="73" t="s">
        <v>154</v>
      </c>
      <c r="D19" s="73" t="s">
        <v>147</v>
      </c>
      <c r="E19" s="73" t="s">
        <v>147</v>
      </c>
      <c r="F19" s="73" t="s">
        <v>156</v>
      </c>
      <c r="G19" s="73" t="s">
        <v>156</v>
      </c>
      <c r="H19" s="73" t="s">
        <v>154</v>
      </c>
      <c r="I19" s="73" t="s">
        <v>149</v>
      </c>
      <c r="J19" s="73" t="s">
        <v>149</v>
      </c>
    </row>
    <row r="20" spans="1:10" s="69" customFormat="1" ht="21">
      <c r="A20" s="86" t="s">
        <v>175</v>
      </c>
      <c r="B20" s="73" t="s">
        <v>152</v>
      </c>
      <c r="C20" s="73" t="s">
        <v>156</v>
      </c>
      <c r="D20" s="73" t="s">
        <v>147</v>
      </c>
      <c r="E20" s="73" t="s">
        <v>149</v>
      </c>
      <c r="F20" s="73" t="s">
        <v>156</v>
      </c>
      <c r="G20" s="73" t="s">
        <v>156</v>
      </c>
      <c r="H20" s="73" t="s">
        <v>147</v>
      </c>
      <c r="I20" s="73" t="s">
        <v>147</v>
      </c>
      <c r="J20" s="73" t="s">
        <v>156</v>
      </c>
    </row>
    <row r="21" spans="1:10" s="69" customFormat="1" ht="21">
      <c r="A21" s="86" t="s">
        <v>192</v>
      </c>
      <c r="B21" s="73" t="s">
        <v>174</v>
      </c>
      <c r="C21" s="73" t="s">
        <v>154</v>
      </c>
      <c r="D21" s="73" t="s">
        <v>149</v>
      </c>
      <c r="E21" s="73" t="s">
        <v>154</v>
      </c>
      <c r="F21" s="73" t="s">
        <v>156</v>
      </c>
      <c r="G21" s="73" t="s">
        <v>156</v>
      </c>
      <c r="H21" s="73" t="s">
        <v>154</v>
      </c>
      <c r="I21" s="73" t="s">
        <v>158</v>
      </c>
      <c r="J21" s="73" t="s">
        <v>149</v>
      </c>
    </row>
    <row r="22" spans="1:10" s="69" customFormat="1" ht="21">
      <c r="A22" s="86" t="s">
        <v>176</v>
      </c>
      <c r="B22" s="73" t="s">
        <v>177</v>
      </c>
      <c r="C22" s="73" t="s">
        <v>156</v>
      </c>
      <c r="D22" s="73" t="s">
        <v>158</v>
      </c>
      <c r="E22" s="73" t="s">
        <v>158</v>
      </c>
      <c r="F22" s="73" t="s">
        <v>156</v>
      </c>
      <c r="G22" s="73" t="s">
        <v>156</v>
      </c>
      <c r="H22" s="73" t="s">
        <v>156</v>
      </c>
      <c r="I22" s="73" t="s">
        <v>156</v>
      </c>
      <c r="J22" s="73" t="s">
        <v>156</v>
      </c>
    </row>
    <row r="23" spans="1:10" s="69" customFormat="1" ht="21">
      <c r="A23" s="86" t="s">
        <v>191</v>
      </c>
      <c r="B23" s="73" t="s">
        <v>151</v>
      </c>
      <c r="C23" s="73" t="s">
        <v>149</v>
      </c>
      <c r="D23" s="73" t="s">
        <v>154</v>
      </c>
      <c r="E23" s="73" t="s">
        <v>154</v>
      </c>
      <c r="F23" s="73" t="s">
        <v>156</v>
      </c>
      <c r="G23" s="73" t="s">
        <v>156</v>
      </c>
      <c r="H23" s="73" t="s">
        <v>149</v>
      </c>
      <c r="I23" s="73" t="s">
        <v>156</v>
      </c>
      <c r="J23" s="73" t="s">
        <v>149</v>
      </c>
    </row>
    <row r="24" spans="1:10" s="69" customFormat="1" ht="21">
      <c r="A24" s="86" t="s">
        <v>178</v>
      </c>
      <c r="B24" s="73" t="s">
        <v>153</v>
      </c>
      <c r="C24" s="73" t="s">
        <v>156</v>
      </c>
      <c r="D24" s="73" t="s">
        <v>154</v>
      </c>
      <c r="E24" s="73" t="s">
        <v>154</v>
      </c>
      <c r="F24" s="73" t="s">
        <v>156</v>
      </c>
      <c r="G24" s="73" t="s">
        <v>156</v>
      </c>
      <c r="H24" s="73" t="s">
        <v>158</v>
      </c>
      <c r="I24" s="73" t="s">
        <v>154</v>
      </c>
      <c r="J24" s="73" t="s">
        <v>156</v>
      </c>
    </row>
    <row r="25" spans="1:10" s="69" customFormat="1" ht="21">
      <c r="A25" s="86" t="s">
        <v>179</v>
      </c>
      <c r="B25" s="73" t="s">
        <v>166</v>
      </c>
      <c r="C25" s="73" t="s">
        <v>156</v>
      </c>
      <c r="D25" s="73" t="s">
        <v>156</v>
      </c>
      <c r="E25" s="73" t="s">
        <v>156</v>
      </c>
      <c r="F25" s="73" t="s">
        <v>156</v>
      </c>
      <c r="G25" s="73" t="s">
        <v>156</v>
      </c>
      <c r="H25" s="73" t="s">
        <v>156</v>
      </c>
      <c r="I25" s="73" t="s">
        <v>156</v>
      </c>
      <c r="J25" s="73" t="s">
        <v>158</v>
      </c>
    </row>
    <row r="26" spans="1:10" s="69" customFormat="1" ht="21">
      <c r="A26" s="86" t="s">
        <v>190</v>
      </c>
      <c r="B26" s="73" t="s">
        <v>163</v>
      </c>
      <c r="C26" s="73" t="s">
        <v>156</v>
      </c>
      <c r="D26" s="73" t="s">
        <v>147</v>
      </c>
      <c r="E26" s="73" t="s">
        <v>147</v>
      </c>
      <c r="F26" s="73" t="s">
        <v>156</v>
      </c>
      <c r="G26" s="73" t="s">
        <v>156</v>
      </c>
      <c r="H26" s="73" t="s">
        <v>156</v>
      </c>
      <c r="I26" s="73" t="s">
        <v>156</v>
      </c>
      <c r="J26" s="73" t="s">
        <v>149</v>
      </c>
    </row>
    <row r="27" spans="1:10" s="69" customFormat="1" ht="21">
      <c r="A27" s="86" t="s">
        <v>180</v>
      </c>
      <c r="B27" s="73">
        <v>15</v>
      </c>
      <c r="C27" s="73" t="s">
        <v>147</v>
      </c>
      <c r="D27" s="73" t="s">
        <v>156</v>
      </c>
      <c r="E27" s="73" t="s">
        <v>156</v>
      </c>
      <c r="F27" s="73" t="s">
        <v>156</v>
      </c>
      <c r="G27" s="73" t="s">
        <v>156</v>
      </c>
      <c r="H27" s="73" t="s">
        <v>156</v>
      </c>
      <c r="I27" s="73" t="s">
        <v>156</v>
      </c>
      <c r="J27" s="73" t="s">
        <v>156</v>
      </c>
    </row>
    <row r="28" spans="1:10" s="69" customFormat="1" ht="21">
      <c r="A28" s="86" t="s">
        <v>181</v>
      </c>
      <c r="B28" s="73" t="s">
        <v>151</v>
      </c>
      <c r="C28" s="73" t="s">
        <v>149</v>
      </c>
      <c r="D28" s="73" t="s">
        <v>156</v>
      </c>
      <c r="E28" s="73" t="s">
        <v>156</v>
      </c>
      <c r="F28" s="73" t="s">
        <v>154</v>
      </c>
      <c r="G28" s="73" t="s">
        <v>149</v>
      </c>
      <c r="H28" s="73" t="s">
        <v>154</v>
      </c>
      <c r="I28" s="73" t="s">
        <v>147</v>
      </c>
      <c r="J28" s="73" t="s">
        <v>156</v>
      </c>
    </row>
    <row r="29" spans="1:10" s="69" customFormat="1" ht="21">
      <c r="A29" s="86" t="s">
        <v>182</v>
      </c>
      <c r="B29" s="73" t="s">
        <v>172</v>
      </c>
      <c r="C29" s="73" t="s">
        <v>156</v>
      </c>
      <c r="D29" s="73" t="s">
        <v>156</v>
      </c>
      <c r="E29" s="73" t="s">
        <v>156</v>
      </c>
      <c r="F29" s="73" t="s">
        <v>156</v>
      </c>
      <c r="G29" s="73" t="s">
        <v>156</v>
      </c>
      <c r="H29" s="73" t="s">
        <v>156</v>
      </c>
      <c r="I29" s="73" t="s">
        <v>156</v>
      </c>
      <c r="J29" s="73" t="s">
        <v>147</v>
      </c>
    </row>
    <row r="30" spans="1:10" s="69" customFormat="1" ht="21">
      <c r="A30" s="86" t="s">
        <v>183</v>
      </c>
      <c r="B30" s="73" t="s">
        <v>184</v>
      </c>
      <c r="C30" s="73" t="s">
        <v>156</v>
      </c>
      <c r="D30" s="73" t="s">
        <v>147</v>
      </c>
      <c r="E30" s="73" t="s">
        <v>147</v>
      </c>
      <c r="F30" s="73" t="s">
        <v>156</v>
      </c>
      <c r="G30" s="73" t="s">
        <v>156</v>
      </c>
      <c r="H30" s="73" t="s">
        <v>156</v>
      </c>
      <c r="I30" s="73" t="s">
        <v>156</v>
      </c>
      <c r="J30" s="73" t="s">
        <v>156</v>
      </c>
    </row>
    <row r="31" spans="1:10" s="69" customFormat="1" ht="21">
      <c r="A31" s="86" t="s">
        <v>185</v>
      </c>
      <c r="B31" s="73">
        <v>5</v>
      </c>
      <c r="C31" s="73" t="s">
        <v>147</v>
      </c>
      <c r="D31" s="73" t="s">
        <v>149</v>
      </c>
      <c r="E31" s="73" t="s">
        <v>154</v>
      </c>
      <c r="F31" s="73" t="s">
        <v>156</v>
      </c>
      <c r="G31" s="73" t="s">
        <v>156</v>
      </c>
      <c r="H31" s="73" t="s">
        <v>156</v>
      </c>
      <c r="I31" s="73" t="s">
        <v>156</v>
      </c>
      <c r="J31" s="73" t="s">
        <v>156</v>
      </c>
    </row>
    <row r="32" spans="1:10" s="69" customFormat="1" ht="21">
      <c r="A32" s="86" t="s">
        <v>186</v>
      </c>
      <c r="B32" s="73">
        <v>23</v>
      </c>
      <c r="C32" s="73" t="s">
        <v>156</v>
      </c>
      <c r="D32" s="73" t="s">
        <v>156</v>
      </c>
      <c r="E32" s="73" t="s">
        <v>156</v>
      </c>
      <c r="F32" s="73" t="s">
        <v>156</v>
      </c>
      <c r="G32" s="73" t="s">
        <v>156</v>
      </c>
      <c r="H32" s="73" t="s">
        <v>156</v>
      </c>
      <c r="I32" s="73" t="s">
        <v>156</v>
      </c>
      <c r="J32" s="73" t="s">
        <v>147</v>
      </c>
    </row>
    <row r="33" spans="1:10" s="69" customFormat="1" ht="21">
      <c r="A33" s="86" t="s">
        <v>181</v>
      </c>
      <c r="B33" s="73" t="s">
        <v>151</v>
      </c>
      <c r="C33" s="73" t="s">
        <v>149</v>
      </c>
      <c r="D33" s="73" t="s">
        <v>156</v>
      </c>
      <c r="E33" s="73" t="s">
        <v>156</v>
      </c>
      <c r="F33" s="73" t="s">
        <v>154</v>
      </c>
      <c r="G33" s="73" t="s">
        <v>149</v>
      </c>
      <c r="H33" s="73" t="s">
        <v>154</v>
      </c>
      <c r="I33" s="73" t="s">
        <v>147</v>
      </c>
      <c r="J33" s="73" t="s">
        <v>156</v>
      </c>
    </row>
    <row r="34" spans="1:10" s="69" customFormat="1" ht="21">
      <c r="A34" s="86" t="s">
        <v>182</v>
      </c>
      <c r="B34" s="73" t="s">
        <v>172</v>
      </c>
      <c r="C34" s="73" t="s">
        <v>156</v>
      </c>
      <c r="D34" s="73" t="s">
        <v>156</v>
      </c>
      <c r="E34" s="73" t="s">
        <v>156</v>
      </c>
      <c r="F34" s="73" t="s">
        <v>156</v>
      </c>
      <c r="G34" s="73" t="s">
        <v>156</v>
      </c>
      <c r="H34" s="73" t="s">
        <v>156</v>
      </c>
      <c r="I34" s="73" t="s">
        <v>156</v>
      </c>
      <c r="J34" s="73" t="s">
        <v>147</v>
      </c>
    </row>
    <row r="35" spans="1:10" s="69" customFormat="1" ht="21">
      <c r="A35" s="86" t="s">
        <v>183</v>
      </c>
      <c r="B35" s="73" t="s">
        <v>184</v>
      </c>
      <c r="C35" s="73" t="s">
        <v>156</v>
      </c>
      <c r="D35" s="73" t="s">
        <v>147</v>
      </c>
      <c r="E35" s="73" t="s">
        <v>147</v>
      </c>
      <c r="F35" s="73" t="s">
        <v>156</v>
      </c>
      <c r="G35" s="73" t="s">
        <v>156</v>
      </c>
      <c r="H35" s="73" t="s">
        <v>156</v>
      </c>
      <c r="I35" s="73" t="s">
        <v>156</v>
      </c>
      <c r="J35" s="73" t="s">
        <v>156</v>
      </c>
    </row>
    <row r="36" spans="1:10" s="69" customFormat="1" ht="21">
      <c r="A36" s="86" t="s">
        <v>185</v>
      </c>
      <c r="B36" s="73">
        <v>5</v>
      </c>
      <c r="C36" s="73" t="s">
        <v>147</v>
      </c>
      <c r="D36" s="73" t="s">
        <v>149</v>
      </c>
      <c r="E36" s="73" t="s">
        <v>154</v>
      </c>
      <c r="F36" s="73" t="s">
        <v>156</v>
      </c>
      <c r="G36" s="73" t="s">
        <v>156</v>
      </c>
      <c r="H36" s="73" t="s">
        <v>156</v>
      </c>
      <c r="I36" s="73" t="s">
        <v>156</v>
      </c>
      <c r="J36" s="73" t="s">
        <v>156</v>
      </c>
    </row>
    <row r="37" spans="1:10" s="69" customFormat="1" ht="21">
      <c r="A37" s="86" t="s">
        <v>186</v>
      </c>
      <c r="B37" s="73">
        <v>23</v>
      </c>
      <c r="C37" s="73" t="s">
        <v>156</v>
      </c>
      <c r="D37" s="73" t="s">
        <v>156</v>
      </c>
      <c r="E37" s="73" t="s">
        <v>156</v>
      </c>
      <c r="F37" s="73" t="s">
        <v>156</v>
      </c>
      <c r="G37" s="73" t="s">
        <v>156</v>
      </c>
      <c r="H37" s="73" t="s">
        <v>156</v>
      </c>
      <c r="I37" s="73" t="s">
        <v>156</v>
      </c>
      <c r="J37" s="73" t="s">
        <v>147</v>
      </c>
    </row>
    <row r="38" spans="1:10" s="69" customFormat="1" ht="21">
      <c r="A38" s="86" t="s">
        <v>187</v>
      </c>
      <c r="B38" s="73" t="s">
        <v>151</v>
      </c>
      <c r="C38" s="73" t="s">
        <v>149</v>
      </c>
      <c r="D38" s="73" t="s">
        <v>154</v>
      </c>
      <c r="E38" s="73" t="s">
        <v>154</v>
      </c>
      <c r="F38" s="73" t="s">
        <v>156</v>
      </c>
      <c r="G38" s="73" t="s">
        <v>156</v>
      </c>
      <c r="H38" s="73" t="s">
        <v>156</v>
      </c>
      <c r="I38" s="73" t="s">
        <v>158</v>
      </c>
      <c r="J38" s="73" t="s">
        <v>154</v>
      </c>
    </row>
    <row r="39" spans="1:10" s="69" customFormat="1" ht="21">
      <c r="A39" s="86" t="s">
        <v>188</v>
      </c>
      <c r="B39" s="73" t="s">
        <v>152</v>
      </c>
      <c r="C39" s="73" t="s">
        <v>156</v>
      </c>
      <c r="D39" s="73" t="s">
        <v>147</v>
      </c>
      <c r="E39" s="73" t="s">
        <v>147</v>
      </c>
      <c r="F39" s="73" t="s">
        <v>156</v>
      </c>
      <c r="G39" s="73" t="s">
        <v>156</v>
      </c>
      <c r="H39" s="73" t="s">
        <v>156</v>
      </c>
      <c r="I39" s="73" t="s">
        <v>147</v>
      </c>
      <c r="J39" s="73" t="s">
        <v>156</v>
      </c>
    </row>
    <row r="41" ht="18.75">
      <c r="A41" s="72" t="s">
        <v>394</v>
      </c>
    </row>
    <row r="42" ht="18.75">
      <c r="A42" s="72" t="s">
        <v>392</v>
      </c>
    </row>
    <row r="43" ht="18.75">
      <c r="A43" s="72" t="s">
        <v>393</v>
      </c>
    </row>
    <row r="44" ht="18.75">
      <c r="A44" s="72" t="s">
        <v>395</v>
      </c>
    </row>
    <row r="45" ht="18.75">
      <c r="A45" s="72" t="s">
        <v>389</v>
      </c>
    </row>
    <row r="46" ht="18.75">
      <c r="A46" s="72" t="s">
        <v>390</v>
      </c>
    </row>
    <row r="47" ht="18.75">
      <c r="A47" s="72" t="s">
        <v>391</v>
      </c>
    </row>
    <row r="48" ht="18.75">
      <c r="A48" s="72" t="s">
        <v>396</v>
      </c>
    </row>
    <row r="49" ht="18.75">
      <c r="A49" s="72" t="s">
        <v>397</v>
      </c>
    </row>
    <row r="50" ht="18.75">
      <c r="A50" s="72"/>
    </row>
  </sheetData>
  <sheetProtection password="96BD" sheet="1"/>
  <mergeCells count="1">
    <mergeCell ref="A1:L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70C0"/>
  </sheetPr>
  <dimension ref="A1:S105"/>
  <sheetViews>
    <sheetView zoomScale="85" zoomScaleNormal="85" zoomScalePageLayoutView="0" workbookViewId="0" topLeftCell="A4">
      <selection activeCell="L68" sqref="L68"/>
    </sheetView>
  </sheetViews>
  <sheetFormatPr defaultColWidth="9.140625" defaultRowHeight="15"/>
  <cols>
    <col min="1" max="1" width="36.8515625" style="75" bestFit="1" customWidth="1"/>
    <col min="2" max="2" width="28.57421875" style="75" customWidth="1"/>
    <col min="3" max="3" width="35.8515625" style="75" customWidth="1"/>
    <col min="4" max="4" width="17.8515625" style="75" bestFit="1" customWidth="1"/>
    <col min="5" max="5" width="17.140625" style="75" customWidth="1"/>
    <col min="6" max="6" width="13.57421875" style="75" customWidth="1"/>
    <col min="7" max="7" width="11.00390625" style="75" bestFit="1" customWidth="1"/>
    <col min="8" max="8" width="15.00390625" style="75" customWidth="1"/>
    <col min="9" max="9" width="17.421875" style="75" customWidth="1"/>
    <col min="10" max="10" width="18.140625" style="75" customWidth="1"/>
    <col min="11" max="11" width="11.28125" style="75" customWidth="1"/>
    <col min="12" max="12" width="27.140625" style="75" bestFit="1" customWidth="1"/>
    <col min="13" max="13" width="7.28125" style="75" bestFit="1" customWidth="1"/>
    <col min="14" max="14" width="7.57421875" style="75" bestFit="1" customWidth="1"/>
    <col min="15" max="15" width="10.28125" style="75" bestFit="1" customWidth="1"/>
    <col min="16" max="16" width="6.28125" style="75" bestFit="1" customWidth="1"/>
    <col min="17" max="17" width="9.57421875" style="75" bestFit="1" customWidth="1"/>
    <col min="18" max="16384" width="9.140625" style="75" customWidth="1"/>
  </cols>
  <sheetData>
    <row r="1" ht="15">
      <c r="A1" s="83" t="s">
        <v>513</v>
      </c>
    </row>
    <row r="2" spans="1:17" ht="15">
      <c r="A2" s="75" t="s">
        <v>514</v>
      </c>
      <c r="B2" s="75">
        <v>20</v>
      </c>
      <c r="L2" s="87"/>
      <c r="M2" s="87"/>
      <c r="N2" s="87"/>
      <c r="O2" s="87"/>
      <c r="P2" s="87"/>
      <c r="Q2" s="87"/>
    </row>
    <row r="3" spans="1:11" ht="18.75">
      <c r="A3" s="75" t="s">
        <v>211</v>
      </c>
      <c r="B3" s="75">
        <v>500</v>
      </c>
      <c r="C3" s="167"/>
      <c r="D3" s="167"/>
      <c r="E3" s="240" t="s">
        <v>224</v>
      </c>
      <c r="F3" s="240"/>
      <c r="G3" s="240"/>
      <c r="H3" s="240"/>
      <c r="I3" s="240"/>
      <c r="J3" s="240"/>
      <c r="K3" s="240"/>
    </row>
    <row r="4" spans="1:11" ht="21">
      <c r="A4" s="75" t="s">
        <v>233</v>
      </c>
      <c r="B4" s="77">
        <f>B2*B3</f>
        <v>10000</v>
      </c>
      <c r="C4" s="168" t="s">
        <v>228</v>
      </c>
      <c r="D4" s="169"/>
      <c r="E4" s="241" t="s">
        <v>223</v>
      </c>
      <c r="F4" s="241"/>
      <c r="G4" s="241"/>
      <c r="H4" s="241"/>
      <c r="I4" s="241"/>
      <c r="J4" s="241"/>
      <c r="K4" s="241"/>
    </row>
    <row r="5" spans="3:11" ht="15">
      <c r="C5" s="170" t="s">
        <v>226</v>
      </c>
      <c r="D5" s="170" t="s">
        <v>222</v>
      </c>
      <c r="E5" s="171" t="s">
        <v>216</v>
      </c>
      <c r="F5" s="171" t="s">
        <v>217</v>
      </c>
      <c r="G5" s="171" t="s">
        <v>218</v>
      </c>
      <c r="H5" s="171" t="s">
        <v>220</v>
      </c>
      <c r="I5" s="171" t="s">
        <v>221</v>
      </c>
      <c r="J5" s="171" t="s">
        <v>219</v>
      </c>
      <c r="K5" s="171" t="s">
        <v>225</v>
      </c>
    </row>
    <row r="6" spans="3:17" ht="15">
      <c r="C6" s="75" t="s">
        <v>216</v>
      </c>
      <c r="D6" s="90">
        <v>0</v>
      </c>
      <c r="E6" s="94">
        <f>CONVERT($D6,"oz","oz")</f>
        <v>0</v>
      </c>
      <c r="F6" s="94">
        <f>CONVERT($D6,"oz","tsp")</f>
        <v>0</v>
      </c>
      <c r="G6" s="94">
        <f>CONVERT($D6,"oz","tbs")</f>
        <v>0</v>
      </c>
      <c r="H6" s="94">
        <f>CONVERT($D6,"oz","us_pt")</f>
        <v>0</v>
      </c>
      <c r="I6" s="94">
        <f>CONVERT($D6,"oz","qt")</f>
        <v>0</v>
      </c>
      <c r="J6" s="94">
        <f>CONVERT($D6,"oz","gal")</f>
        <v>0</v>
      </c>
      <c r="K6" s="94">
        <f>CONVERT($D6,"oz","l")</f>
        <v>0</v>
      </c>
      <c r="M6" s="164"/>
      <c r="N6" s="164"/>
      <c r="O6" s="164"/>
      <c r="P6" s="164"/>
      <c r="Q6" s="164"/>
    </row>
    <row r="7" spans="3:17" ht="15">
      <c r="C7" s="75" t="s">
        <v>217</v>
      </c>
      <c r="D7" s="90">
        <v>21</v>
      </c>
      <c r="E7" s="94">
        <f>CONVERT($D7,"tsp","oz")</f>
        <v>3.5</v>
      </c>
      <c r="F7" s="94">
        <f>CONVERT($D7,"tsp","tsp")</f>
        <v>21</v>
      </c>
      <c r="G7" s="94">
        <f>CONVERT($D7,"tsp","tbs")</f>
        <v>7</v>
      </c>
      <c r="H7" s="94">
        <f>CONVERT($D7,"tsp","us_pt")</f>
        <v>0.21875</v>
      </c>
      <c r="I7" s="94">
        <f>CONVERT($D7,"tsp","qt")</f>
        <v>0.109375</v>
      </c>
      <c r="J7" s="94">
        <f>CONVERT($D7,"tsp","gal")</f>
        <v>0.02734375</v>
      </c>
      <c r="K7" s="94">
        <f>CONVERT($D7,"tsp","l")</f>
        <v>0.10350735346875</v>
      </c>
      <c r="M7" s="164"/>
      <c r="N7" s="164"/>
      <c r="O7" s="164"/>
      <c r="P7" s="164"/>
      <c r="Q7" s="164"/>
    </row>
    <row r="8" spans="3:17" ht="15">
      <c r="C8" s="75" t="s">
        <v>218</v>
      </c>
      <c r="D8" s="90">
        <v>0</v>
      </c>
      <c r="E8" s="94">
        <f>CONVERT($D8,"tbs","oz")</f>
        <v>0</v>
      </c>
      <c r="F8" s="94">
        <f>CONVERT($D8,"tbs","tsp")</f>
        <v>0</v>
      </c>
      <c r="G8" s="94">
        <f>CONVERT($D8,"tbs","tbs")</f>
        <v>0</v>
      </c>
      <c r="H8" s="94">
        <f>CONVERT($D8,"tbs","us_pt")</f>
        <v>0</v>
      </c>
      <c r="I8" s="94">
        <f>CONVERT($D8,"tbs","qt")</f>
        <v>0</v>
      </c>
      <c r="J8" s="94">
        <f>CONVERT($D8,"tbs","gal")</f>
        <v>0</v>
      </c>
      <c r="K8" s="94">
        <f>CONVERT($D8,"tbs","l")</f>
        <v>0</v>
      </c>
      <c r="M8" s="164"/>
      <c r="N8" s="164"/>
      <c r="O8" s="164"/>
      <c r="P8" s="164"/>
      <c r="Q8" s="164"/>
    </row>
    <row r="9" spans="3:17" ht="15">
      <c r="C9" s="75" t="s">
        <v>220</v>
      </c>
      <c r="D9" s="90">
        <v>0</v>
      </c>
      <c r="E9" s="94">
        <f>CONVERT($D9,"us_pt","oz")</f>
        <v>0</v>
      </c>
      <c r="F9" s="94">
        <f>CONVERT($D9,"us_pt","tsp")</f>
        <v>0</v>
      </c>
      <c r="G9" s="94">
        <f>CONVERT($D9,"us_pt","tbs")</f>
        <v>0</v>
      </c>
      <c r="H9" s="94">
        <f>CONVERT($D9,"us_pt","us_pt")</f>
        <v>0</v>
      </c>
      <c r="I9" s="94">
        <f>CONVERT($D9,"us_pt","qt")</f>
        <v>0</v>
      </c>
      <c r="J9" s="94">
        <f>CONVERT($D9,"us_pt","gal")</f>
        <v>0</v>
      </c>
      <c r="K9" s="94">
        <f>CONVERT($D9,"us_pt","l")</f>
        <v>0</v>
      </c>
      <c r="M9" s="164"/>
      <c r="N9" s="164"/>
      <c r="O9" s="164"/>
      <c r="P9" s="164"/>
      <c r="Q9" s="164"/>
    </row>
    <row r="10" spans="3:17" ht="15">
      <c r="C10" s="75" t="s">
        <v>221</v>
      </c>
      <c r="D10" s="90">
        <v>0</v>
      </c>
      <c r="E10" s="94">
        <f>CONVERT($D10,"qt","oz")</f>
        <v>0</v>
      </c>
      <c r="F10" s="94">
        <f>CONVERT($D10,"qt","tsp")</f>
        <v>0</v>
      </c>
      <c r="G10" s="94">
        <f>CONVERT($D10,"qt","tbs")</f>
        <v>0</v>
      </c>
      <c r="H10" s="94">
        <f>CONVERT($D10,"qt","us_pt")</f>
        <v>0</v>
      </c>
      <c r="I10" s="94">
        <f>CONVERT($D10,"qt","qt")</f>
        <v>0</v>
      </c>
      <c r="J10" s="94">
        <f>CONVERT($D10,"qt","gal")</f>
        <v>0</v>
      </c>
      <c r="K10" s="94">
        <f>CONVERT($D10,"qt","l")</f>
        <v>0</v>
      </c>
      <c r="M10" s="164"/>
      <c r="N10" s="164"/>
      <c r="O10" s="164"/>
      <c r="P10" s="164"/>
      <c r="Q10" s="164"/>
    </row>
    <row r="11" spans="3:17" ht="15">
      <c r="C11" s="75" t="s">
        <v>219</v>
      </c>
      <c r="D11" s="90">
        <v>0</v>
      </c>
      <c r="E11" s="94">
        <f>CONVERT($D11,"gal","oz")</f>
        <v>0</v>
      </c>
      <c r="F11" s="94">
        <f>CONVERT($D11,"gal","tsp")</f>
        <v>0</v>
      </c>
      <c r="G11" s="94">
        <f>CONVERT($D11,"gal","tbs")</f>
        <v>0</v>
      </c>
      <c r="H11" s="94">
        <f>CONVERT($D11,"gal","us_pt")</f>
        <v>0</v>
      </c>
      <c r="I11" s="94">
        <f>CONVERT($D11,"gal","qt")</f>
        <v>0</v>
      </c>
      <c r="J11" s="94">
        <f>CONVERT($D11,"gal","gal")</f>
        <v>0</v>
      </c>
      <c r="K11" s="94">
        <f>CONVERT($D11,"gal","l")</f>
        <v>0</v>
      </c>
      <c r="M11" s="164"/>
      <c r="N11" s="164"/>
      <c r="O11" s="164"/>
      <c r="P11" s="164"/>
      <c r="Q11" s="164"/>
    </row>
    <row r="12" spans="3:17" ht="15.75" thickBot="1">
      <c r="C12" s="113" t="s">
        <v>225</v>
      </c>
      <c r="D12" s="172">
        <v>0</v>
      </c>
      <c r="E12" s="173">
        <f>CONVERT($D12,"l","oz")</f>
        <v>0</v>
      </c>
      <c r="F12" s="173">
        <f>CONVERT($D12,"l","tsp")</f>
        <v>0</v>
      </c>
      <c r="G12" s="173">
        <f>CONVERT($D12,"l","tbs")</f>
        <v>0</v>
      </c>
      <c r="H12" s="173">
        <f>CONVERT($D12,"l","us_pt")</f>
        <v>0</v>
      </c>
      <c r="I12" s="173">
        <f>CONVERT($D12,"l","qt")</f>
        <v>0</v>
      </c>
      <c r="J12" s="173">
        <f>CONVERT($D12,"l","gal")</f>
        <v>0</v>
      </c>
      <c r="K12" s="173">
        <f>CONVERT($D12,"l","l")</f>
        <v>0</v>
      </c>
      <c r="M12" s="164"/>
      <c r="N12" s="164"/>
      <c r="O12" s="164"/>
      <c r="P12" s="164"/>
      <c r="Q12" s="164"/>
    </row>
    <row r="13" spans="3:17" ht="15">
      <c r="C13" s="75" t="s">
        <v>376</v>
      </c>
      <c r="D13" s="89"/>
      <c r="E13" s="94">
        <f aca="true" t="shared" si="0" ref="E13:K13">SUM(E6:E12)</f>
        <v>3.5</v>
      </c>
      <c r="F13" s="94">
        <f t="shared" si="0"/>
        <v>21</v>
      </c>
      <c r="G13" s="94">
        <f t="shared" si="0"/>
        <v>7</v>
      </c>
      <c r="H13" s="94">
        <f t="shared" si="0"/>
        <v>0.21875</v>
      </c>
      <c r="I13" s="94">
        <f t="shared" si="0"/>
        <v>0.109375</v>
      </c>
      <c r="J13" s="94">
        <f t="shared" si="0"/>
        <v>0.02734375</v>
      </c>
      <c r="K13" s="94">
        <f t="shared" si="0"/>
        <v>0.10350735346875</v>
      </c>
      <c r="M13" s="164"/>
      <c r="N13" s="164"/>
      <c r="O13" s="164"/>
      <c r="P13" s="164"/>
      <c r="Q13" s="164"/>
    </row>
    <row r="14" spans="4:17" ht="15">
      <c r="D14" s="89"/>
      <c r="E14" s="94"/>
      <c r="F14" s="94"/>
      <c r="G14" s="94"/>
      <c r="H14" s="94"/>
      <c r="I14" s="94"/>
      <c r="J14" s="94"/>
      <c r="K14" s="94"/>
      <c r="M14" s="164"/>
      <c r="N14" s="164"/>
      <c r="O14" s="164"/>
      <c r="P14" s="164"/>
      <c r="Q14" s="164"/>
    </row>
    <row r="15" spans="3:17" ht="15">
      <c r="C15" s="174"/>
      <c r="D15" s="174"/>
      <c r="E15" s="242" t="s">
        <v>229</v>
      </c>
      <c r="F15" s="242"/>
      <c r="G15" s="242"/>
      <c r="H15" s="87"/>
      <c r="I15" s="87"/>
      <c r="J15" s="89"/>
      <c r="K15" s="89"/>
      <c r="M15" s="164"/>
      <c r="N15" s="164"/>
      <c r="O15" s="164"/>
      <c r="P15" s="164"/>
      <c r="Q15" s="164"/>
    </row>
    <row r="16" spans="3:17" ht="21">
      <c r="C16" s="175" t="s">
        <v>227</v>
      </c>
      <c r="D16" s="171" t="s">
        <v>222</v>
      </c>
      <c r="E16" s="171" t="s">
        <v>213</v>
      </c>
      <c r="F16" s="171" t="s">
        <v>214</v>
      </c>
      <c r="G16" s="171" t="s">
        <v>215</v>
      </c>
      <c r="J16" s="89"/>
      <c r="K16" s="89"/>
      <c r="M16" s="164"/>
      <c r="N16" s="164"/>
      <c r="O16" s="164"/>
      <c r="P16" s="164"/>
      <c r="Q16" s="164"/>
    </row>
    <row r="17" spans="3:11" ht="15">
      <c r="C17" s="75" t="s">
        <v>213</v>
      </c>
      <c r="D17" s="90">
        <v>0</v>
      </c>
      <c r="E17" s="94">
        <f>CONVERT($D17,"ozm","ozm")</f>
        <v>0</v>
      </c>
      <c r="F17" s="94">
        <f>CONVERT($D17,"ozm","lbm")</f>
        <v>0</v>
      </c>
      <c r="G17" s="94">
        <f>CONVERT($D17,"ozm","g")</f>
        <v>0</v>
      </c>
      <c r="J17" s="89"/>
      <c r="K17" s="89"/>
    </row>
    <row r="18" spans="3:11" ht="15">
      <c r="C18" s="75" t="s">
        <v>214</v>
      </c>
      <c r="D18" s="90">
        <v>0</v>
      </c>
      <c r="E18" s="94">
        <f>CONVERT($D18,"lbm","ozm")</f>
        <v>0</v>
      </c>
      <c r="F18" s="94">
        <f>CONVERT($D18,"lbm","lbm")</f>
        <v>0</v>
      </c>
      <c r="G18" s="94">
        <f>CONVERT($D18,"lbm","g")</f>
        <v>0</v>
      </c>
      <c r="J18" s="89"/>
      <c r="K18" s="89"/>
    </row>
    <row r="19" spans="3:11" ht="15.75" thickBot="1">
      <c r="C19" s="113" t="s">
        <v>215</v>
      </c>
      <c r="D19" s="172">
        <v>0</v>
      </c>
      <c r="E19" s="173">
        <f>CONVERT($D19,"g","ozm")</f>
        <v>0</v>
      </c>
      <c r="F19" s="173">
        <f>CONVERT($D19,"g","lbm")</f>
        <v>0</v>
      </c>
      <c r="G19" s="173">
        <f>CONVERT($D19,"g","g")</f>
        <v>0</v>
      </c>
      <c r="J19" s="89"/>
      <c r="K19" s="89"/>
    </row>
    <row r="20" spans="3:11" ht="15">
      <c r="C20" s="75" t="s">
        <v>376</v>
      </c>
      <c r="D20" s="89"/>
      <c r="E20" s="94">
        <f>SUM(E17:E19)</f>
        <v>0</v>
      </c>
      <c r="F20" s="94">
        <f>SUM(F17:F19)</f>
        <v>0</v>
      </c>
      <c r="G20" s="94">
        <f>SUM(G17:G19)</f>
        <v>0</v>
      </c>
      <c r="J20" s="89"/>
      <c r="K20" s="89"/>
    </row>
    <row r="23" spans="4:10" ht="15">
      <c r="D23" s="176" t="s">
        <v>204</v>
      </c>
      <c r="E23" s="176" t="s">
        <v>205</v>
      </c>
      <c r="F23" s="176" t="s">
        <v>212</v>
      </c>
      <c r="G23" s="176" t="s">
        <v>208</v>
      </c>
      <c r="H23" s="176" t="s">
        <v>24</v>
      </c>
      <c r="I23" s="176" t="s">
        <v>209</v>
      </c>
      <c r="J23" s="176" t="s">
        <v>231</v>
      </c>
    </row>
    <row r="24" spans="4:10" ht="15">
      <c r="D24" s="166" t="s">
        <v>230</v>
      </c>
      <c r="E24" s="166" t="s">
        <v>206</v>
      </c>
      <c r="F24" s="166" t="s">
        <v>379</v>
      </c>
      <c r="G24" s="166" t="s">
        <v>207</v>
      </c>
      <c r="H24" s="166" t="s">
        <v>202</v>
      </c>
      <c r="I24" s="166" t="s">
        <v>210</v>
      </c>
      <c r="J24" s="166" t="s">
        <v>232</v>
      </c>
    </row>
    <row r="25" spans="4:10" ht="15">
      <c r="D25" s="166" t="s">
        <v>384</v>
      </c>
      <c r="E25" s="83"/>
      <c r="F25" s="83" t="s">
        <v>378</v>
      </c>
      <c r="G25" s="83"/>
      <c r="H25" s="83"/>
      <c r="I25" s="83"/>
      <c r="J25" s="83"/>
    </row>
    <row r="26" spans="1:10" ht="15">
      <c r="A26" s="169" t="s">
        <v>203</v>
      </c>
      <c r="B26" s="171" t="s">
        <v>515</v>
      </c>
      <c r="C26" s="170" t="s">
        <v>201</v>
      </c>
      <c r="D26" s="171" t="s">
        <v>385</v>
      </c>
      <c r="E26" s="170"/>
      <c r="F26" s="170" t="s">
        <v>377</v>
      </c>
      <c r="G26" s="170"/>
      <c r="H26" s="170"/>
      <c r="I26" s="170"/>
      <c r="J26" s="170"/>
    </row>
    <row r="27" spans="1:19" ht="15">
      <c r="A27" s="101" t="s">
        <v>383</v>
      </c>
      <c r="B27" s="101"/>
      <c r="C27" s="103">
        <v>120</v>
      </c>
      <c r="D27" s="103">
        <v>32</v>
      </c>
      <c r="E27" s="95">
        <v>3.75</v>
      </c>
      <c r="F27" s="103">
        <v>10</v>
      </c>
      <c r="G27" s="103">
        <v>3</v>
      </c>
      <c r="H27" s="95">
        <v>112.5</v>
      </c>
      <c r="I27" s="95">
        <v>2250</v>
      </c>
      <c r="J27" s="95">
        <v>0.225</v>
      </c>
      <c r="L27" s="166"/>
      <c r="M27" s="166"/>
      <c r="N27" s="95"/>
      <c r="O27" s="166"/>
      <c r="P27" s="166"/>
      <c r="Q27" s="95"/>
      <c r="R27" s="95"/>
      <c r="S27" s="95"/>
    </row>
    <row r="28" spans="1:10" s="164" customFormat="1" ht="15">
      <c r="A28" s="165" t="s">
        <v>155</v>
      </c>
      <c r="B28" s="91">
        <v>6</v>
      </c>
      <c r="D28" s="91"/>
      <c r="E28" s="96">
        <f>IF(D28=0,0,C28/D28)</f>
        <v>0</v>
      </c>
      <c r="F28" s="91"/>
      <c r="G28" s="91"/>
      <c r="H28" s="96">
        <f aca="true" t="shared" si="1" ref="H28:H72">E28*F28*G28</f>
        <v>0</v>
      </c>
      <c r="I28" s="96">
        <f aca="true" t="shared" si="2" ref="I28:I72">H28*$B$2</f>
        <v>0</v>
      </c>
      <c r="J28" s="96">
        <f aca="true" t="shared" si="3" ref="J28:J49">I28/$B$4</f>
        <v>0</v>
      </c>
    </row>
    <row r="29" spans="1:10" s="164" customFormat="1" ht="15">
      <c r="A29" s="165" t="s">
        <v>157</v>
      </c>
      <c r="B29" s="91" t="s">
        <v>153</v>
      </c>
      <c r="D29" s="91"/>
      <c r="E29" s="96">
        <f aca="true" t="shared" si="4" ref="E29:E79">IF(D29=0,0,C29/D29)</f>
        <v>0</v>
      </c>
      <c r="F29" s="91"/>
      <c r="G29" s="91"/>
      <c r="H29" s="96">
        <f t="shared" si="1"/>
        <v>0</v>
      </c>
      <c r="I29" s="96">
        <f t="shared" si="2"/>
        <v>0</v>
      </c>
      <c r="J29" s="96">
        <f t="shared" si="3"/>
        <v>0</v>
      </c>
    </row>
    <row r="30" spans="1:10" s="164" customFormat="1" ht="15">
      <c r="A30" s="165" t="s">
        <v>159</v>
      </c>
      <c r="B30" s="91" t="s">
        <v>160</v>
      </c>
      <c r="D30" s="91"/>
      <c r="E30" s="96">
        <f t="shared" si="4"/>
        <v>0</v>
      </c>
      <c r="F30" s="91"/>
      <c r="G30" s="91"/>
      <c r="H30" s="96">
        <f t="shared" si="1"/>
        <v>0</v>
      </c>
      <c r="I30" s="96">
        <f t="shared" si="2"/>
        <v>0</v>
      </c>
      <c r="J30" s="96">
        <f t="shared" si="3"/>
        <v>0</v>
      </c>
    </row>
    <row r="31" spans="1:10" s="164" customFormat="1" ht="15">
      <c r="A31" s="165" t="s">
        <v>161</v>
      </c>
      <c r="B31" s="91" t="s">
        <v>152</v>
      </c>
      <c r="D31" s="91"/>
      <c r="E31" s="96">
        <f t="shared" si="4"/>
        <v>0</v>
      </c>
      <c r="F31" s="91"/>
      <c r="G31" s="91"/>
      <c r="H31" s="96">
        <f t="shared" si="1"/>
        <v>0</v>
      </c>
      <c r="I31" s="96">
        <f t="shared" si="2"/>
        <v>0</v>
      </c>
      <c r="J31" s="96">
        <f t="shared" si="3"/>
        <v>0</v>
      </c>
    </row>
    <row r="32" spans="1:10" s="164" customFormat="1" ht="15">
      <c r="A32" s="165" t="s">
        <v>162</v>
      </c>
      <c r="B32" s="91" t="s">
        <v>516</v>
      </c>
      <c r="D32" s="91"/>
      <c r="E32" s="96">
        <f t="shared" si="4"/>
        <v>0</v>
      </c>
      <c r="F32" s="91"/>
      <c r="G32" s="91"/>
      <c r="H32" s="96">
        <f t="shared" si="1"/>
        <v>0</v>
      </c>
      <c r="I32" s="96">
        <f t="shared" si="2"/>
        <v>0</v>
      </c>
      <c r="J32" s="96">
        <f t="shared" si="3"/>
        <v>0</v>
      </c>
    </row>
    <row r="33" spans="1:10" s="164" customFormat="1" ht="15">
      <c r="A33" s="165" t="s">
        <v>189</v>
      </c>
      <c r="B33" s="91" t="s">
        <v>517</v>
      </c>
      <c r="D33" s="91"/>
      <c r="E33" s="96">
        <f t="shared" si="4"/>
        <v>0</v>
      </c>
      <c r="F33" s="91"/>
      <c r="G33" s="91"/>
      <c r="H33" s="96">
        <f t="shared" si="1"/>
        <v>0</v>
      </c>
      <c r="I33" s="96">
        <f t="shared" si="2"/>
        <v>0</v>
      </c>
      <c r="J33" s="96">
        <f t="shared" si="3"/>
        <v>0</v>
      </c>
    </row>
    <row r="34" spans="1:10" s="164" customFormat="1" ht="15">
      <c r="A34" s="177" t="s">
        <v>518</v>
      </c>
      <c r="B34" s="177" t="s">
        <v>519</v>
      </c>
      <c r="D34" s="91"/>
      <c r="E34" s="96">
        <f t="shared" si="4"/>
        <v>0</v>
      </c>
      <c r="F34" s="91"/>
      <c r="G34" s="91"/>
      <c r="H34" s="96">
        <f t="shared" si="1"/>
        <v>0</v>
      </c>
      <c r="I34" s="96">
        <f t="shared" si="2"/>
        <v>0</v>
      </c>
      <c r="J34" s="96">
        <f t="shared" si="3"/>
        <v>0</v>
      </c>
    </row>
    <row r="35" spans="1:10" s="164" customFormat="1" ht="15">
      <c r="A35" s="165" t="s">
        <v>164</v>
      </c>
      <c r="B35" s="91">
        <v>25</v>
      </c>
      <c r="D35" s="91"/>
      <c r="E35" s="96">
        <f t="shared" si="4"/>
        <v>0</v>
      </c>
      <c r="F35" s="91"/>
      <c r="G35" s="91"/>
      <c r="H35" s="96">
        <f t="shared" si="1"/>
        <v>0</v>
      </c>
      <c r="I35" s="96">
        <f t="shared" si="2"/>
        <v>0</v>
      </c>
      <c r="J35" s="96">
        <f t="shared" si="3"/>
        <v>0</v>
      </c>
    </row>
    <row r="36" spans="1:10" s="164" customFormat="1" ht="15">
      <c r="A36" s="165" t="s">
        <v>148</v>
      </c>
      <c r="B36" s="91">
        <v>3</v>
      </c>
      <c r="D36" s="91"/>
      <c r="E36" s="96">
        <f t="shared" si="4"/>
        <v>0</v>
      </c>
      <c r="F36" s="91"/>
      <c r="G36" s="91"/>
      <c r="H36" s="96">
        <f t="shared" si="1"/>
        <v>0</v>
      </c>
      <c r="I36" s="96">
        <f t="shared" si="2"/>
        <v>0</v>
      </c>
      <c r="J36" s="96">
        <f t="shared" si="3"/>
        <v>0</v>
      </c>
    </row>
    <row r="37" spans="1:10" s="164" customFormat="1" ht="15">
      <c r="A37" s="165" t="s">
        <v>150</v>
      </c>
      <c r="B37" s="91">
        <v>16</v>
      </c>
      <c r="D37" s="91"/>
      <c r="E37" s="96">
        <f t="shared" si="4"/>
        <v>0</v>
      </c>
      <c r="F37" s="91"/>
      <c r="G37" s="91"/>
      <c r="H37" s="96">
        <f t="shared" si="1"/>
        <v>0</v>
      </c>
      <c r="I37" s="96">
        <f t="shared" si="2"/>
        <v>0</v>
      </c>
      <c r="J37" s="96">
        <f t="shared" si="3"/>
        <v>0</v>
      </c>
    </row>
    <row r="38" spans="1:10" s="164" customFormat="1" ht="15">
      <c r="A38" s="165" t="s">
        <v>165</v>
      </c>
      <c r="B38" s="91" t="s">
        <v>166</v>
      </c>
      <c r="D38" s="91"/>
      <c r="E38" s="96">
        <f t="shared" si="4"/>
        <v>0</v>
      </c>
      <c r="F38" s="91"/>
      <c r="G38" s="91"/>
      <c r="H38" s="96">
        <f t="shared" si="1"/>
        <v>0</v>
      </c>
      <c r="I38" s="96">
        <f t="shared" si="2"/>
        <v>0</v>
      </c>
      <c r="J38" s="96">
        <f t="shared" si="3"/>
        <v>0</v>
      </c>
    </row>
    <row r="39" spans="1:10" s="164" customFormat="1" ht="15">
      <c r="A39" s="165" t="s">
        <v>167</v>
      </c>
      <c r="B39" s="91">
        <v>12</v>
      </c>
      <c r="D39" s="91"/>
      <c r="E39" s="96">
        <f t="shared" si="4"/>
        <v>0</v>
      </c>
      <c r="F39" s="91"/>
      <c r="G39" s="91"/>
      <c r="H39" s="96">
        <f t="shared" si="1"/>
        <v>0</v>
      </c>
      <c r="I39" s="96">
        <f t="shared" si="2"/>
        <v>0</v>
      </c>
      <c r="J39" s="96">
        <f t="shared" si="3"/>
        <v>0</v>
      </c>
    </row>
    <row r="40" spans="1:10" s="164" customFormat="1" ht="15">
      <c r="A40" s="165" t="s">
        <v>168</v>
      </c>
      <c r="B40" s="91" t="s">
        <v>153</v>
      </c>
      <c r="D40" s="91"/>
      <c r="E40" s="96">
        <f t="shared" si="4"/>
        <v>0</v>
      </c>
      <c r="F40" s="91"/>
      <c r="G40" s="91"/>
      <c r="H40" s="96">
        <f t="shared" si="1"/>
        <v>0</v>
      </c>
      <c r="I40" s="96">
        <f t="shared" si="2"/>
        <v>0</v>
      </c>
      <c r="J40" s="96">
        <f t="shared" si="3"/>
        <v>0</v>
      </c>
    </row>
    <row r="41" spans="1:10" s="164" customFormat="1" ht="15">
      <c r="A41" s="165" t="s">
        <v>169</v>
      </c>
      <c r="B41" s="91" t="s">
        <v>170</v>
      </c>
      <c r="D41" s="91"/>
      <c r="E41" s="96">
        <f t="shared" si="4"/>
        <v>0</v>
      </c>
      <c r="F41" s="91"/>
      <c r="G41" s="91"/>
      <c r="H41" s="96">
        <f t="shared" si="1"/>
        <v>0</v>
      </c>
      <c r="I41" s="96">
        <f t="shared" si="2"/>
        <v>0</v>
      </c>
      <c r="J41" s="96">
        <f t="shared" si="3"/>
        <v>0</v>
      </c>
    </row>
    <row r="42" spans="1:10" s="164" customFormat="1" ht="15">
      <c r="A42" s="177" t="s">
        <v>520</v>
      </c>
      <c r="B42" s="177" t="s">
        <v>152</v>
      </c>
      <c r="D42" s="91"/>
      <c r="E42" s="96">
        <f t="shared" si="4"/>
        <v>0</v>
      </c>
      <c r="F42" s="91"/>
      <c r="G42" s="91"/>
      <c r="H42" s="96">
        <f t="shared" si="1"/>
        <v>0</v>
      </c>
      <c r="I42" s="96">
        <f t="shared" si="2"/>
        <v>0</v>
      </c>
      <c r="J42" s="96">
        <f t="shared" si="3"/>
        <v>0</v>
      </c>
    </row>
    <row r="43" spans="1:10" s="164" customFormat="1" ht="15">
      <c r="A43" s="177" t="s">
        <v>521</v>
      </c>
      <c r="B43" s="177">
        <v>3</v>
      </c>
      <c r="D43" s="91"/>
      <c r="E43" s="96">
        <f t="shared" si="4"/>
        <v>0</v>
      </c>
      <c r="F43" s="91"/>
      <c r="G43" s="91"/>
      <c r="H43" s="96">
        <f t="shared" si="1"/>
        <v>0</v>
      </c>
      <c r="I43" s="96">
        <f t="shared" si="2"/>
        <v>0</v>
      </c>
      <c r="J43" s="96">
        <f t="shared" si="3"/>
        <v>0</v>
      </c>
    </row>
    <row r="44" spans="1:10" s="164" customFormat="1" ht="15">
      <c r="A44" s="177" t="s">
        <v>522</v>
      </c>
      <c r="B44" s="177">
        <v>17</v>
      </c>
      <c r="D44" s="91"/>
      <c r="E44" s="96">
        <f t="shared" si="4"/>
        <v>0</v>
      </c>
      <c r="F44" s="91"/>
      <c r="G44" s="91"/>
      <c r="H44" s="96">
        <f t="shared" si="1"/>
        <v>0</v>
      </c>
      <c r="I44" s="96">
        <f t="shared" si="2"/>
        <v>0</v>
      </c>
      <c r="J44" s="96">
        <f t="shared" si="3"/>
        <v>0</v>
      </c>
    </row>
    <row r="45" spans="1:10" s="164" customFormat="1" ht="15">
      <c r="A45" s="177" t="s">
        <v>523</v>
      </c>
      <c r="B45" s="177" t="s">
        <v>152</v>
      </c>
      <c r="D45" s="91"/>
      <c r="E45" s="96">
        <f t="shared" si="4"/>
        <v>0</v>
      </c>
      <c r="F45" s="91"/>
      <c r="G45" s="91"/>
      <c r="H45" s="96">
        <f t="shared" si="1"/>
        <v>0</v>
      </c>
      <c r="I45" s="96">
        <f t="shared" si="2"/>
        <v>0</v>
      </c>
      <c r="J45" s="96">
        <f t="shared" si="3"/>
        <v>0</v>
      </c>
    </row>
    <row r="46" spans="1:10" s="164" customFormat="1" ht="15">
      <c r="A46" s="165" t="s">
        <v>524</v>
      </c>
      <c r="B46" s="91">
        <v>15</v>
      </c>
      <c r="D46" s="91"/>
      <c r="E46" s="96">
        <f t="shared" si="4"/>
        <v>0</v>
      </c>
      <c r="F46" s="91"/>
      <c r="G46" s="91"/>
      <c r="H46" s="96">
        <f t="shared" si="1"/>
        <v>0</v>
      </c>
      <c r="I46" s="96">
        <f t="shared" si="2"/>
        <v>0</v>
      </c>
      <c r="J46" s="96">
        <f t="shared" si="3"/>
        <v>0</v>
      </c>
    </row>
    <row r="47" spans="1:10" s="164" customFormat="1" ht="15">
      <c r="A47" s="177" t="s">
        <v>525</v>
      </c>
      <c r="B47" s="177" t="s">
        <v>526</v>
      </c>
      <c r="D47" s="91"/>
      <c r="E47" s="96">
        <f t="shared" si="4"/>
        <v>0</v>
      </c>
      <c r="F47" s="91"/>
      <c r="G47" s="91"/>
      <c r="H47" s="96">
        <f t="shared" si="1"/>
        <v>0</v>
      </c>
      <c r="I47" s="96">
        <f t="shared" si="2"/>
        <v>0</v>
      </c>
      <c r="J47" s="96">
        <f t="shared" si="3"/>
        <v>0</v>
      </c>
    </row>
    <row r="48" spans="1:10" s="164" customFormat="1" ht="15">
      <c r="A48" s="177" t="s">
        <v>527</v>
      </c>
      <c r="B48" s="177">
        <v>3</v>
      </c>
      <c r="D48" s="91"/>
      <c r="E48" s="96">
        <f t="shared" si="4"/>
        <v>0</v>
      </c>
      <c r="F48" s="91"/>
      <c r="G48" s="91"/>
      <c r="H48" s="96">
        <f t="shared" si="1"/>
        <v>0</v>
      </c>
      <c r="I48" s="96">
        <f t="shared" si="2"/>
        <v>0</v>
      </c>
      <c r="J48" s="96">
        <f t="shared" si="3"/>
        <v>0</v>
      </c>
    </row>
    <row r="49" spans="1:10" s="164" customFormat="1" ht="15">
      <c r="A49" s="165" t="s">
        <v>171</v>
      </c>
      <c r="B49" s="91">
        <v>21</v>
      </c>
      <c r="D49" s="91"/>
      <c r="E49" s="96">
        <f t="shared" si="4"/>
        <v>0</v>
      </c>
      <c r="F49" s="91"/>
      <c r="G49" s="91"/>
      <c r="H49" s="96">
        <f t="shared" si="1"/>
        <v>0</v>
      </c>
      <c r="I49" s="96">
        <f t="shared" si="2"/>
        <v>0</v>
      </c>
      <c r="J49" s="96">
        <f t="shared" si="3"/>
        <v>0</v>
      </c>
    </row>
    <row r="50" spans="1:10" s="164" customFormat="1" ht="15">
      <c r="A50" s="165" t="s">
        <v>173</v>
      </c>
      <c r="B50" s="91" t="s">
        <v>170</v>
      </c>
      <c r="D50" s="91"/>
      <c r="E50" s="96">
        <f t="shared" si="4"/>
        <v>0</v>
      </c>
      <c r="F50" s="91"/>
      <c r="G50" s="91"/>
      <c r="H50" s="96">
        <f t="shared" si="1"/>
        <v>0</v>
      </c>
      <c r="I50" s="96">
        <f t="shared" si="2"/>
        <v>0</v>
      </c>
      <c r="J50" s="96">
        <v>0</v>
      </c>
    </row>
    <row r="51" spans="1:10" s="164" customFormat="1" ht="15">
      <c r="A51" s="165" t="s">
        <v>193</v>
      </c>
      <c r="B51" s="91"/>
      <c r="D51" s="91"/>
      <c r="E51" s="96">
        <f t="shared" si="4"/>
        <v>0</v>
      </c>
      <c r="F51" s="91"/>
      <c r="G51" s="91"/>
      <c r="H51" s="96">
        <f t="shared" si="1"/>
        <v>0</v>
      </c>
      <c r="I51" s="96">
        <f t="shared" si="2"/>
        <v>0</v>
      </c>
      <c r="J51" s="96">
        <f>I51/$B$4</f>
        <v>0</v>
      </c>
    </row>
    <row r="52" spans="1:10" s="164" customFormat="1" ht="15">
      <c r="A52" s="165" t="s">
        <v>175</v>
      </c>
      <c r="B52" s="91" t="s">
        <v>152</v>
      </c>
      <c r="D52" s="91"/>
      <c r="E52" s="96">
        <f t="shared" si="4"/>
        <v>0</v>
      </c>
      <c r="F52" s="91"/>
      <c r="G52" s="91"/>
      <c r="H52" s="96">
        <f t="shared" si="1"/>
        <v>0</v>
      </c>
      <c r="I52" s="96">
        <f t="shared" si="2"/>
        <v>0</v>
      </c>
      <c r="J52" s="96">
        <f>I52/$B$4</f>
        <v>0</v>
      </c>
    </row>
    <row r="53" spans="1:10" s="164" customFormat="1" ht="15">
      <c r="A53" s="165" t="s">
        <v>192</v>
      </c>
      <c r="B53" s="91" t="s">
        <v>519</v>
      </c>
      <c r="D53" s="91"/>
      <c r="E53" s="96">
        <f t="shared" si="4"/>
        <v>0</v>
      </c>
      <c r="F53" s="91"/>
      <c r="G53" s="91"/>
      <c r="H53" s="96">
        <f t="shared" si="1"/>
        <v>0</v>
      </c>
      <c r="I53" s="96">
        <f t="shared" si="2"/>
        <v>0</v>
      </c>
      <c r="J53" s="96">
        <f>I53/$B$4</f>
        <v>0</v>
      </c>
    </row>
    <row r="54" spans="1:10" s="164" customFormat="1" ht="15">
      <c r="A54" s="165" t="s">
        <v>176</v>
      </c>
      <c r="B54" s="91" t="s">
        <v>177</v>
      </c>
      <c r="D54" s="91"/>
      <c r="E54" s="96">
        <f t="shared" si="4"/>
        <v>0</v>
      </c>
      <c r="F54" s="91"/>
      <c r="G54" s="91"/>
      <c r="H54" s="96">
        <f t="shared" si="1"/>
        <v>0</v>
      </c>
      <c r="I54" s="96">
        <f t="shared" si="2"/>
        <v>0</v>
      </c>
      <c r="J54" s="96">
        <f>I54/$B$4</f>
        <v>0</v>
      </c>
    </row>
    <row r="55" spans="1:10" s="164" customFormat="1" ht="15">
      <c r="A55" s="165" t="s">
        <v>191</v>
      </c>
      <c r="B55" s="91">
        <v>3</v>
      </c>
      <c r="D55" s="91"/>
      <c r="E55" s="96">
        <f t="shared" si="4"/>
        <v>0</v>
      </c>
      <c r="F55" s="91"/>
      <c r="G55" s="91"/>
      <c r="H55" s="96">
        <f t="shared" si="1"/>
        <v>0</v>
      </c>
      <c r="I55" s="96">
        <f t="shared" si="2"/>
        <v>0</v>
      </c>
      <c r="J55" s="96">
        <f aca="true" t="shared" si="5" ref="J55:J72">I55/$B$4</f>
        <v>0</v>
      </c>
    </row>
    <row r="56" spans="1:10" s="164" customFormat="1" ht="15">
      <c r="A56" s="165" t="s">
        <v>178</v>
      </c>
      <c r="B56" s="91" t="s">
        <v>153</v>
      </c>
      <c r="D56" s="91"/>
      <c r="E56" s="96">
        <f t="shared" si="4"/>
        <v>0</v>
      </c>
      <c r="F56" s="91"/>
      <c r="G56" s="91"/>
      <c r="H56" s="96">
        <f t="shared" si="1"/>
        <v>0</v>
      </c>
      <c r="I56" s="96">
        <f t="shared" si="2"/>
        <v>0</v>
      </c>
      <c r="J56" s="96">
        <f t="shared" si="5"/>
        <v>0</v>
      </c>
    </row>
    <row r="57" spans="1:10" s="164" customFormat="1" ht="15">
      <c r="A57" s="177" t="s">
        <v>528</v>
      </c>
      <c r="B57" s="177" t="s">
        <v>519</v>
      </c>
      <c r="D57" s="91"/>
      <c r="E57" s="96">
        <f t="shared" si="4"/>
        <v>0</v>
      </c>
      <c r="F57" s="91"/>
      <c r="G57" s="91"/>
      <c r="H57" s="96">
        <f t="shared" si="1"/>
        <v>0</v>
      </c>
      <c r="I57" s="96">
        <f t="shared" si="2"/>
        <v>0</v>
      </c>
      <c r="J57" s="96">
        <f t="shared" si="5"/>
        <v>0</v>
      </c>
    </row>
    <row r="58" spans="1:10" s="164" customFormat="1" ht="15">
      <c r="A58" s="165" t="s">
        <v>179</v>
      </c>
      <c r="B58" s="91" t="s">
        <v>166</v>
      </c>
      <c r="D58" s="91"/>
      <c r="E58" s="96">
        <f t="shared" si="4"/>
        <v>0</v>
      </c>
      <c r="F58" s="91"/>
      <c r="G58" s="91"/>
      <c r="H58" s="96">
        <f t="shared" si="1"/>
        <v>0</v>
      </c>
      <c r="I58" s="96">
        <f t="shared" si="2"/>
        <v>0</v>
      </c>
      <c r="J58" s="96">
        <f t="shared" si="5"/>
        <v>0</v>
      </c>
    </row>
    <row r="59" spans="1:10" s="164" customFormat="1" ht="15">
      <c r="A59" s="165" t="s">
        <v>190</v>
      </c>
      <c r="B59" s="91"/>
      <c r="D59" s="91"/>
      <c r="E59" s="96">
        <f t="shared" si="4"/>
        <v>0</v>
      </c>
      <c r="F59" s="91"/>
      <c r="G59" s="91"/>
      <c r="H59" s="96">
        <f t="shared" si="1"/>
        <v>0</v>
      </c>
      <c r="I59" s="96">
        <f t="shared" si="2"/>
        <v>0</v>
      </c>
      <c r="J59" s="96">
        <f t="shared" si="5"/>
        <v>0</v>
      </c>
    </row>
    <row r="60" spans="1:10" s="164" customFormat="1" ht="15">
      <c r="A60" s="165" t="s">
        <v>180</v>
      </c>
      <c r="B60" s="91">
        <v>15</v>
      </c>
      <c r="D60" s="91"/>
      <c r="E60" s="96">
        <f t="shared" si="4"/>
        <v>0</v>
      </c>
      <c r="F60" s="91"/>
      <c r="G60" s="91"/>
      <c r="H60" s="96">
        <f t="shared" si="1"/>
        <v>0</v>
      </c>
      <c r="I60" s="96">
        <f t="shared" si="2"/>
        <v>0</v>
      </c>
      <c r="J60" s="96">
        <f t="shared" si="5"/>
        <v>0</v>
      </c>
    </row>
    <row r="61" spans="1:10" s="164" customFormat="1" ht="15">
      <c r="A61" s="165" t="s">
        <v>181</v>
      </c>
      <c r="B61" s="91">
        <v>3</v>
      </c>
      <c r="D61" s="91"/>
      <c r="E61" s="96">
        <f t="shared" si="4"/>
        <v>0</v>
      </c>
      <c r="F61" s="91"/>
      <c r="G61" s="91"/>
      <c r="H61" s="96">
        <f t="shared" si="1"/>
        <v>0</v>
      </c>
      <c r="I61" s="96">
        <f t="shared" si="2"/>
        <v>0</v>
      </c>
      <c r="J61" s="96">
        <f t="shared" si="5"/>
        <v>0</v>
      </c>
    </row>
    <row r="62" spans="1:10" s="164" customFormat="1" ht="15">
      <c r="A62" s="177" t="s">
        <v>529</v>
      </c>
      <c r="B62" s="177">
        <v>3</v>
      </c>
      <c r="C62" s="91"/>
      <c r="D62" s="91"/>
      <c r="E62" s="96">
        <f t="shared" si="4"/>
        <v>0</v>
      </c>
      <c r="F62" s="91"/>
      <c r="G62" s="91"/>
      <c r="H62" s="96">
        <f t="shared" si="1"/>
        <v>0</v>
      </c>
      <c r="I62" s="96">
        <f t="shared" si="2"/>
        <v>0</v>
      </c>
      <c r="J62" s="96">
        <f t="shared" si="5"/>
        <v>0</v>
      </c>
    </row>
    <row r="63" spans="1:10" s="164" customFormat="1" ht="15">
      <c r="A63" s="165" t="s">
        <v>182</v>
      </c>
      <c r="B63" s="91">
        <v>21</v>
      </c>
      <c r="C63" s="91"/>
      <c r="D63" s="91"/>
      <c r="E63" s="96">
        <f t="shared" si="4"/>
        <v>0</v>
      </c>
      <c r="F63" s="91"/>
      <c r="G63" s="91"/>
      <c r="H63" s="96">
        <f t="shared" si="1"/>
        <v>0</v>
      </c>
      <c r="I63" s="96">
        <f t="shared" si="2"/>
        <v>0</v>
      </c>
      <c r="J63" s="96">
        <f t="shared" si="5"/>
        <v>0</v>
      </c>
    </row>
    <row r="64" spans="1:10" s="164" customFormat="1" ht="15">
      <c r="A64" s="165" t="s">
        <v>182</v>
      </c>
      <c r="B64" s="91">
        <v>21</v>
      </c>
      <c r="C64" s="91"/>
      <c r="D64" s="91"/>
      <c r="E64" s="96">
        <f t="shared" si="4"/>
        <v>0</v>
      </c>
      <c r="F64" s="91"/>
      <c r="G64" s="91"/>
      <c r="H64" s="96">
        <f t="shared" si="1"/>
        <v>0</v>
      </c>
      <c r="I64" s="96">
        <f t="shared" si="2"/>
        <v>0</v>
      </c>
      <c r="J64" s="96">
        <f t="shared" si="5"/>
        <v>0</v>
      </c>
    </row>
    <row r="65" spans="1:10" s="164" customFormat="1" ht="15">
      <c r="A65" s="165" t="s">
        <v>183</v>
      </c>
      <c r="B65" s="91" t="s">
        <v>184</v>
      </c>
      <c r="C65" s="91"/>
      <c r="D65" s="91"/>
      <c r="E65" s="96">
        <f t="shared" si="4"/>
        <v>0</v>
      </c>
      <c r="F65" s="91"/>
      <c r="G65" s="91"/>
      <c r="H65" s="96">
        <f t="shared" si="1"/>
        <v>0</v>
      </c>
      <c r="I65" s="96">
        <f t="shared" si="2"/>
        <v>0</v>
      </c>
      <c r="J65" s="96">
        <f t="shared" si="5"/>
        <v>0</v>
      </c>
    </row>
    <row r="66" spans="1:10" s="164" customFormat="1" ht="15">
      <c r="A66" s="177" t="s">
        <v>530</v>
      </c>
      <c r="B66" s="177" t="s">
        <v>531</v>
      </c>
      <c r="C66" s="91"/>
      <c r="D66" s="91"/>
      <c r="E66" s="96">
        <f t="shared" si="4"/>
        <v>0</v>
      </c>
      <c r="F66" s="91"/>
      <c r="G66" s="91"/>
      <c r="H66" s="96">
        <f t="shared" si="1"/>
        <v>0</v>
      </c>
      <c r="I66" s="96">
        <f t="shared" si="2"/>
        <v>0</v>
      </c>
      <c r="J66" s="96">
        <f t="shared" si="5"/>
        <v>0</v>
      </c>
    </row>
    <row r="67" spans="1:10" s="164" customFormat="1" ht="15">
      <c r="A67" s="165" t="s">
        <v>185</v>
      </c>
      <c r="B67" s="91">
        <v>5</v>
      </c>
      <c r="C67" s="91"/>
      <c r="D67" s="91"/>
      <c r="E67" s="96">
        <f t="shared" si="4"/>
        <v>0</v>
      </c>
      <c r="F67" s="91"/>
      <c r="G67" s="91"/>
      <c r="H67" s="96">
        <f t="shared" si="1"/>
        <v>0</v>
      </c>
      <c r="I67" s="96">
        <f t="shared" si="2"/>
        <v>0</v>
      </c>
      <c r="J67" s="96">
        <f t="shared" si="5"/>
        <v>0</v>
      </c>
    </row>
    <row r="68" spans="1:10" s="164" customFormat="1" ht="15">
      <c r="A68" s="165" t="s">
        <v>186</v>
      </c>
      <c r="B68" s="91">
        <v>23</v>
      </c>
      <c r="C68" s="91"/>
      <c r="D68" s="91"/>
      <c r="E68" s="96">
        <f t="shared" si="4"/>
        <v>0</v>
      </c>
      <c r="F68" s="91"/>
      <c r="G68" s="91"/>
      <c r="H68" s="96">
        <f t="shared" si="1"/>
        <v>0</v>
      </c>
      <c r="I68" s="96">
        <f t="shared" si="2"/>
        <v>0</v>
      </c>
      <c r="J68" s="96">
        <f t="shared" si="5"/>
        <v>0</v>
      </c>
    </row>
    <row r="69" spans="1:10" s="164" customFormat="1" ht="15">
      <c r="A69" s="177" t="s">
        <v>532</v>
      </c>
      <c r="B69" s="177">
        <v>23</v>
      </c>
      <c r="C69" s="91"/>
      <c r="D69" s="91"/>
      <c r="E69" s="96">
        <f t="shared" si="4"/>
        <v>0</v>
      </c>
      <c r="F69" s="91"/>
      <c r="G69" s="91"/>
      <c r="H69" s="96">
        <f t="shared" si="1"/>
        <v>0</v>
      </c>
      <c r="I69" s="96">
        <f t="shared" si="2"/>
        <v>0</v>
      </c>
      <c r="J69" s="96">
        <f t="shared" si="5"/>
        <v>0</v>
      </c>
    </row>
    <row r="70" spans="1:10" s="164" customFormat="1" ht="15">
      <c r="A70" s="91" t="s">
        <v>187</v>
      </c>
      <c r="B70" s="91">
        <v>3</v>
      </c>
      <c r="C70" s="91"/>
      <c r="D70" s="91"/>
      <c r="E70" s="96">
        <f t="shared" si="4"/>
        <v>0</v>
      </c>
      <c r="F70" s="91"/>
      <c r="G70" s="91"/>
      <c r="H70" s="96">
        <f t="shared" si="1"/>
        <v>0</v>
      </c>
      <c r="I70" s="96">
        <f t="shared" si="2"/>
        <v>0</v>
      </c>
      <c r="J70" s="96">
        <f t="shared" si="5"/>
        <v>0</v>
      </c>
    </row>
    <row r="71" spans="1:10" s="164" customFormat="1" ht="15">
      <c r="A71" s="177" t="s">
        <v>533</v>
      </c>
      <c r="B71" s="177" t="s">
        <v>534</v>
      </c>
      <c r="C71" s="91"/>
      <c r="D71" s="91"/>
      <c r="E71" s="96">
        <f t="shared" si="4"/>
        <v>0</v>
      </c>
      <c r="F71" s="91"/>
      <c r="G71" s="91"/>
      <c r="H71" s="96">
        <f t="shared" si="1"/>
        <v>0</v>
      </c>
      <c r="I71" s="96">
        <f t="shared" si="2"/>
        <v>0</v>
      </c>
      <c r="J71" s="96">
        <f t="shared" si="5"/>
        <v>0</v>
      </c>
    </row>
    <row r="72" spans="1:10" s="164" customFormat="1" ht="15">
      <c r="A72" s="91" t="s">
        <v>188</v>
      </c>
      <c r="B72" s="91" t="s">
        <v>152</v>
      </c>
      <c r="C72" s="91"/>
      <c r="D72" s="91"/>
      <c r="E72" s="96">
        <f t="shared" si="4"/>
        <v>0</v>
      </c>
      <c r="F72" s="91"/>
      <c r="G72" s="91"/>
      <c r="H72" s="96">
        <f t="shared" si="1"/>
        <v>0</v>
      </c>
      <c r="I72" s="96">
        <f t="shared" si="2"/>
        <v>0</v>
      </c>
      <c r="J72" s="96">
        <f t="shared" si="5"/>
        <v>0</v>
      </c>
    </row>
    <row r="73" spans="1:10" s="164" customFormat="1" ht="15">
      <c r="A73" s="128" t="s">
        <v>543</v>
      </c>
      <c r="B73" s="128" t="s">
        <v>544</v>
      </c>
      <c r="C73" s="91"/>
      <c r="D73" s="91"/>
      <c r="E73" s="96">
        <f t="shared" si="4"/>
        <v>0</v>
      </c>
      <c r="F73" s="91"/>
      <c r="G73" s="91"/>
      <c r="H73" s="96">
        <f aca="true" t="shared" si="6" ref="H73:H79">E73*F73*G73</f>
        <v>0</v>
      </c>
      <c r="I73" s="96">
        <f aca="true" t="shared" si="7" ref="I73:I79">H73*$B$2</f>
        <v>0</v>
      </c>
      <c r="J73" s="96">
        <f aca="true" t="shared" si="8" ref="J73:J79">I73/$B$4</f>
        <v>0</v>
      </c>
    </row>
    <row r="74" spans="1:10" s="164" customFormat="1" ht="15">
      <c r="A74" s="91"/>
      <c r="B74" s="91"/>
      <c r="C74" s="91"/>
      <c r="D74" s="91"/>
      <c r="E74" s="96">
        <f t="shared" si="4"/>
        <v>0</v>
      </c>
      <c r="F74" s="91"/>
      <c r="G74" s="91"/>
      <c r="H74" s="96">
        <f t="shared" si="6"/>
        <v>0</v>
      </c>
      <c r="I74" s="96">
        <f t="shared" si="7"/>
        <v>0</v>
      </c>
      <c r="J74" s="96">
        <f t="shared" si="8"/>
        <v>0</v>
      </c>
    </row>
    <row r="75" spans="1:10" s="164" customFormat="1" ht="15">
      <c r="A75" s="91"/>
      <c r="B75" s="91"/>
      <c r="C75" s="91"/>
      <c r="D75" s="91"/>
      <c r="E75" s="96">
        <f t="shared" si="4"/>
        <v>0</v>
      </c>
      <c r="F75" s="91"/>
      <c r="G75" s="91"/>
      <c r="H75" s="96">
        <f t="shared" si="6"/>
        <v>0</v>
      </c>
      <c r="I75" s="96">
        <f t="shared" si="7"/>
        <v>0</v>
      </c>
      <c r="J75" s="96">
        <f t="shared" si="8"/>
        <v>0</v>
      </c>
    </row>
    <row r="76" spans="1:10" s="164" customFormat="1" ht="15">
      <c r="A76" s="91"/>
      <c r="B76" s="91"/>
      <c r="C76" s="91"/>
      <c r="D76" s="91"/>
      <c r="E76" s="96">
        <f t="shared" si="4"/>
        <v>0</v>
      </c>
      <c r="F76" s="91"/>
      <c r="G76" s="91"/>
      <c r="H76" s="96">
        <f t="shared" si="6"/>
        <v>0</v>
      </c>
      <c r="I76" s="96">
        <f t="shared" si="7"/>
        <v>0</v>
      </c>
      <c r="J76" s="96">
        <f t="shared" si="8"/>
        <v>0</v>
      </c>
    </row>
    <row r="77" spans="1:10" s="164" customFormat="1" ht="15">
      <c r="A77" s="91"/>
      <c r="B77" s="91"/>
      <c r="C77" s="91"/>
      <c r="D77" s="91"/>
      <c r="E77" s="96">
        <f t="shared" si="4"/>
        <v>0</v>
      </c>
      <c r="F77" s="91"/>
      <c r="G77" s="91"/>
      <c r="H77" s="96">
        <f t="shared" si="6"/>
        <v>0</v>
      </c>
      <c r="I77" s="96">
        <f t="shared" si="7"/>
        <v>0</v>
      </c>
      <c r="J77" s="96">
        <f t="shared" si="8"/>
        <v>0</v>
      </c>
    </row>
    <row r="78" spans="1:10" s="164" customFormat="1" ht="15">
      <c r="A78" s="91"/>
      <c r="B78" s="91"/>
      <c r="C78" s="91"/>
      <c r="D78" s="91"/>
      <c r="E78" s="96">
        <f t="shared" si="4"/>
        <v>0</v>
      </c>
      <c r="F78" s="91"/>
      <c r="G78" s="91"/>
      <c r="H78" s="96">
        <f t="shared" si="6"/>
        <v>0</v>
      </c>
      <c r="I78" s="96">
        <f t="shared" si="7"/>
        <v>0</v>
      </c>
      <c r="J78" s="96">
        <f t="shared" si="8"/>
        <v>0</v>
      </c>
    </row>
    <row r="79" spans="1:10" ht="15">
      <c r="A79" s="169"/>
      <c r="B79" s="169"/>
      <c r="C79" s="169"/>
      <c r="D79" s="169"/>
      <c r="E79" s="178">
        <f t="shared" si="4"/>
        <v>0</v>
      </c>
      <c r="F79" s="169"/>
      <c r="G79" s="169"/>
      <c r="H79" s="178">
        <f t="shared" si="6"/>
        <v>0</v>
      </c>
      <c r="I79" s="178">
        <f t="shared" si="7"/>
        <v>0</v>
      </c>
      <c r="J79" s="178">
        <f t="shared" si="8"/>
        <v>0</v>
      </c>
    </row>
    <row r="80" spans="1:10" ht="15">
      <c r="A80" s="128" t="s">
        <v>382</v>
      </c>
      <c r="B80" s="91"/>
      <c r="E80" s="92"/>
      <c r="H80" s="96">
        <f>SUM(H28:H79)</f>
        <v>0</v>
      </c>
      <c r="I80" s="96">
        <f>SUM(I28:I79)</f>
        <v>0</v>
      </c>
      <c r="J80" s="96">
        <f>SUM(J28:J79)</f>
        <v>0</v>
      </c>
    </row>
    <row r="82" ht="15">
      <c r="B82" s="164"/>
    </row>
    <row r="83" spans="1:3" ht="15">
      <c r="A83" s="243" t="s">
        <v>538</v>
      </c>
      <c r="B83" s="243"/>
      <c r="C83" s="243"/>
    </row>
    <row r="84" spans="1:2" ht="15">
      <c r="A84" s="170" t="s">
        <v>498</v>
      </c>
      <c r="B84" s="109"/>
    </row>
    <row r="85" ht="15">
      <c r="A85" s="91" t="s">
        <v>115</v>
      </c>
    </row>
    <row r="86" spans="1:4" ht="15">
      <c r="A86" s="75" t="s">
        <v>88</v>
      </c>
      <c r="D86" s="93"/>
    </row>
    <row r="87" ht="15">
      <c r="A87" s="91" t="s">
        <v>89</v>
      </c>
    </row>
    <row r="88" ht="15">
      <c r="A88" s="75" t="s">
        <v>93</v>
      </c>
    </row>
    <row r="89" ht="15">
      <c r="A89" s="91" t="s">
        <v>94</v>
      </c>
    </row>
    <row r="90" ht="15">
      <c r="A90" s="75" t="s">
        <v>96</v>
      </c>
    </row>
    <row r="91" ht="15">
      <c r="A91" s="91" t="s">
        <v>118</v>
      </c>
    </row>
    <row r="92" ht="15">
      <c r="A92" s="75" t="s">
        <v>119</v>
      </c>
    </row>
    <row r="93" ht="15">
      <c r="A93" s="91" t="s">
        <v>114</v>
      </c>
    </row>
    <row r="94" ht="15">
      <c r="A94" s="75" t="s">
        <v>98</v>
      </c>
    </row>
    <row r="95" ht="15">
      <c r="A95" s="91" t="s">
        <v>386</v>
      </c>
    </row>
    <row r="96" spans="1:2" ht="15">
      <c r="A96" s="169" t="s">
        <v>116</v>
      </c>
      <c r="B96" s="169"/>
    </row>
    <row r="97" spans="1:2" ht="15">
      <c r="A97" s="128" t="s">
        <v>388</v>
      </c>
      <c r="B97" s="77">
        <f>SUM(B85:B96)</f>
        <v>0</v>
      </c>
    </row>
    <row r="99" spans="1:2" ht="15">
      <c r="A99" s="179" t="s">
        <v>535</v>
      </c>
      <c r="B99" s="169" t="s">
        <v>387</v>
      </c>
    </row>
    <row r="100" ht="15">
      <c r="A100" s="75" t="s">
        <v>14</v>
      </c>
    </row>
    <row r="101" ht="15">
      <c r="A101" s="75" t="s">
        <v>15</v>
      </c>
    </row>
    <row r="102" ht="15">
      <c r="A102" s="75" t="s">
        <v>15</v>
      </c>
    </row>
    <row r="103" ht="15">
      <c r="A103" s="75" t="s">
        <v>2</v>
      </c>
    </row>
    <row r="104" spans="1:2" ht="15">
      <c r="A104" s="169" t="s">
        <v>4</v>
      </c>
      <c r="B104" s="169"/>
    </row>
    <row r="105" spans="1:2" ht="15">
      <c r="A105" s="83" t="s">
        <v>381</v>
      </c>
      <c r="B105" s="77">
        <f>SUM(B100:B104)</f>
        <v>0</v>
      </c>
    </row>
  </sheetData>
  <sheetProtection password="96BD" sheet="1"/>
  <mergeCells count="4">
    <mergeCell ref="E3:K3"/>
    <mergeCell ref="E4:K4"/>
    <mergeCell ref="E15:G15"/>
    <mergeCell ref="A83:C83"/>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tabColor rgb="FF0070C0"/>
  </sheetPr>
  <dimension ref="A1:U92"/>
  <sheetViews>
    <sheetView zoomScale="85" zoomScaleNormal="85" zoomScalePageLayoutView="0" workbookViewId="0" topLeftCell="A55">
      <selection activeCell="I97" sqref="I97"/>
    </sheetView>
  </sheetViews>
  <sheetFormatPr defaultColWidth="9.140625" defaultRowHeight="15"/>
  <cols>
    <col min="1" max="1" width="35.28125" style="75" bestFit="1" customWidth="1"/>
    <col min="2" max="2" width="33.8515625" style="75" customWidth="1"/>
    <col min="3" max="3" width="40.8515625" style="75" bestFit="1" customWidth="1"/>
    <col min="4" max="4" width="17.8515625" style="75" bestFit="1" customWidth="1"/>
    <col min="5" max="5" width="18.28125" style="75" bestFit="1" customWidth="1"/>
    <col min="6" max="6" width="35.140625" style="75" bestFit="1" customWidth="1"/>
    <col min="7" max="7" width="12.7109375" style="75" bestFit="1" customWidth="1"/>
    <col min="8" max="8" width="17.57421875" style="75" bestFit="1" customWidth="1"/>
    <col min="9" max="9" width="14.421875" style="75" bestFit="1" customWidth="1"/>
    <col min="10" max="10" width="16.140625" style="75" bestFit="1" customWidth="1"/>
    <col min="11" max="11" width="10.140625" style="75" bestFit="1" customWidth="1"/>
    <col min="12" max="12" width="11.00390625" style="75" bestFit="1" customWidth="1"/>
    <col min="13" max="16384" width="9.140625" style="75" customWidth="1"/>
  </cols>
  <sheetData>
    <row r="1" spans="1:3" ht="15">
      <c r="A1" s="128" t="s">
        <v>536</v>
      </c>
      <c r="B1" s="128"/>
      <c r="C1" s="91"/>
    </row>
    <row r="2" spans="1:11" ht="21">
      <c r="A2" s="77" t="s">
        <v>537</v>
      </c>
      <c r="B2" s="75">
        <v>20</v>
      </c>
      <c r="E2" s="244" t="s">
        <v>224</v>
      </c>
      <c r="F2" s="244"/>
      <c r="G2" s="244"/>
      <c r="H2" s="244"/>
      <c r="I2" s="244"/>
      <c r="J2" s="244"/>
      <c r="K2" s="244"/>
    </row>
    <row r="3" spans="1:11" ht="23.25">
      <c r="A3" s="77" t="s">
        <v>211</v>
      </c>
      <c r="B3" s="75">
        <v>500</v>
      </c>
      <c r="C3" s="180" t="s">
        <v>228</v>
      </c>
      <c r="E3" s="245" t="s">
        <v>223</v>
      </c>
      <c r="F3" s="245"/>
      <c r="G3" s="245"/>
      <c r="H3" s="245"/>
      <c r="I3" s="245"/>
      <c r="J3" s="245"/>
      <c r="K3" s="77"/>
    </row>
    <row r="4" spans="1:11" ht="15">
      <c r="A4" s="77" t="s">
        <v>235</v>
      </c>
      <c r="B4" s="77">
        <f>B2*B3</f>
        <v>10000</v>
      </c>
      <c r="C4" s="181" t="s">
        <v>226</v>
      </c>
      <c r="D4" s="171" t="s">
        <v>222</v>
      </c>
      <c r="E4" s="182" t="s">
        <v>216</v>
      </c>
      <c r="F4" s="182" t="s">
        <v>217</v>
      </c>
      <c r="G4" s="182" t="s">
        <v>218</v>
      </c>
      <c r="H4" s="182" t="s">
        <v>220</v>
      </c>
      <c r="I4" s="182" t="s">
        <v>221</v>
      </c>
      <c r="J4" s="182" t="s">
        <v>219</v>
      </c>
      <c r="K4" s="182" t="s">
        <v>225</v>
      </c>
    </row>
    <row r="5" spans="3:11" ht="15">
      <c r="C5" s="77" t="s">
        <v>216</v>
      </c>
      <c r="D5" s="164">
        <v>0</v>
      </c>
      <c r="E5" s="100">
        <f>CONVERT($D5,"oz","oz")</f>
        <v>0</v>
      </c>
      <c r="F5" s="100">
        <f>CONVERT($D5,"oz","tsp")</f>
        <v>0</v>
      </c>
      <c r="G5" s="100">
        <f>CONVERT($D5,"oz","tbs")</f>
        <v>0</v>
      </c>
      <c r="H5" s="100">
        <f>CONVERT($D5,"oz","us_pt")</f>
        <v>0</v>
      </c>
      <c r="I5" s="100">
        <f>CONVERT($D5,"oz","qt")</f>
        <v>0</v>
      </c>
      <c r="J5" s="100">
        <f>CONVERT($D5,"oz","gal")</f>
        <v>0</v>
      </c>
      <c r="K5" s="100">
        <f>CONVERT($D5,"oz","l")</f>
        <v>0</v>
      </c>
    </row>
    <row r="6" spans="3:11" ht="15">
      <c r="C6" s="77" t="s">
        <v>217</v>
      </c>
      <c r="D6" s="164">
        <v>0</v>
      </c>
      <c r="E6" s="100">
        <f>CONVERT($D6,"tsp","oz")</f>
        <v>0</v>
      </c>
      <c r="F6" s="100">
        <f>CONVERT($D6,"tsp","tsp")</f>
        <v>0</v>
      </c>
      <c r="G6" s="100">
        <f>CONVERT($D6,"tsp","tbs")</f>
        <v>0</v>
      </c>
      <c r="H6" s="100">
        <f>CONVERT($D6,"tsp","us_pt")</f>
        <v>0</v>
      </c>
      <c r="I6" s="100">
        <f>CONVERT($D6,"tsp","qt")</f>
        <v>0</v>
      </c>
      <c r="J6" s="100">
        <f>CONVERT($D6,"tsp","gal")</f>
        <v>0</v>
      </c>
      <c r="K6" s="100">
        <f>CONVERT($D6,"tsp","l")</f>
        <v>0</v>
      </c>
    </row>
    <row r="7" spans="3:11" ht="15">
      <c r="C7" s="77" t="s">
        <v>218</v>
      </c>
      <c r="D7" s="164">
        <v>0</v>
      </c>
      <c r="E7" s="100">
        <f>CONVERT($D7,"tbs","oz")</f>
        <v>0</v>
      </c>
      <c r="F7" s="100">
        <f>CONVERT($D7,"tbs","tsp")</f>
        <v>0</v>
      </c>
      <c r="G7" s="100">
        <f>CONVERT($D7,"tbs","tbs")</f>
        <v>0</v>
      </c>
      <c r="H7" s="100">
        <f>CONVERT($D7,"tbs","us_pt")</f>
        <v>0</v>
      </c>
      <c r="I7" s="100">
        <f>CONVERT($D7,"tbs","qt")</f>
        <v>0</v>
      </c>
      <c r="J7" s="100">
        <f>CONVERT($D7,"tbs","gal")</f>
        <v>0</v>
      </c>
      <c r="K7" s="100">
        <f>CONVERT($D7,"tbs","l")</f>
        <v>0</v>
      </c>
    </row>
    <row r="8" spans="3:11" ht="15">
      <c r="C8" s="77" t="s">
        <v>220</v>
      </c>
      <c r="D8" s="164">
        <v>0</v>
      </c>
      <c r="E8" s="100">
        <f>CONVERT($D8,"us_pt","oz")</f>
        <v>0</v>
      </c>
      <c r="F8" s="100">
        <f>CONVERT($D8,"us_pt","tsp")</f>
        <v>0</v>
      </c>
      <c r="G8" s="100">
        <f>CONVERT($D8,"us_pt","tbs")</f>
        <v>0</v>
      </c>
      <c r="H8" s="100">
        <f>CONVERT($D8,"us_pt","us_pt")</f>
        <v>0</v>
      </c>
      <c r="I8" s="100">
        <f>CONVERT($D8,"us_pt","qt")</f>
        <v>0</v>
      </c>
      <c r="J8" s="100">
        <f>CONVERT($D8,"us_pt","gal")</f>
        <v>0</v>
      </c>
      <c r="K8" s="100">
        <f>CONVERT($D8,"us_pt","l")</f>
        <v>0</v>
      </c>
    </row>
    <row r="9" spans="3:11" ht="15">
      <c r="C9" s="77" t="s">
        <v>221</v>
      </c>
      <c r="D9" s="164">
        <v>0</v>
      </c>
      <c r="E9" s="100">
        <f>CONVERT($D9,"qt","oz")</f>
        <v>0</v>
      </c>
      <c r="F9" s="100">
        <f>CONVERT($D9,"qt","tsp")</f>
        <v>0</v>
      </c>
      <c r="G9" s="100">
        <f>CONVERT($D9,"qt","tbs")</f>
        <v>0</v>
      </c>
      <c r="H9" s="100">
        <f>CONVERT($D9,"qt","us_pt")</f>
        <v>0</v>
      </c>
      <c r="I9" s="100">
        <f>CONVERT($D9,"qt","qt")</f>
        <v>0</v>
      </c>
      <c r="J9" s="100">
        <f>CONVERT($D9,"qt","gal")</f>
        <v>0</v>
      </c>
      <c r="K9" s="100">
        <f>CONVERT($D9,"qt","l")</f>
        <v>0</v>
      </c>
    </row>
    <row r="10" spans="3:11" ht="15">
      <c r="C10" s="77" t="s">
        <v>219</v>
      </c>
      <c r="D10" s="164">
        <v>0</v>
      </c>
      <c r="E10" s="100">
        <f>CONVERT($D10,"gal","oz")</f>
        <v>0</v>
      </c>
      <c r="F10" s="100">
        <f>CONVERT($D10,"gal","tsp")</f>
        <v>0</v>
      </c>
      <c r="G10" s="100">
        <f>CONVERT($D10,"gal","tbs")</f>
        <v>0</v>
      </c>
      <c r="H10" s="100">
        <f>CONVERT($D10,"gal","us_pt")</f>
        <v>0</v>
      </c>
      <c r="I10" s="100">
        <f>CONVERT($D10,"gal","qt")</f>
        <v>0</v>
      </c>
      <c r="J10" s="100">
        <f>CONVERT($D10,"gal","gal")</f>
        <v>0</v>
      </c>
      <c r="K10" s="100">
        <f>CONVERT($D10,"gal","l")</f>
        <v>0</v>
      </c>
    </row>
    <row r="11" spans="3:11" ht="15">
      <c r="C11" s="183" t="s">
        <v>225</v>
      </c>
      <c r="D11" s="109">
        <v>0</v>
      </c>
      <c r="E11" s="184">
        <f>CONVERT($D11,"l","oz")</f>
        <v>0</v>
      </c>
      <c r="F11" s="184">
        <f>CONVERT($D11,"l","tsp")</f>
        <v>0</v>
      </c>
      <c r="G11" s="184">
        <f>CONVERT($D11,"l","tbs")</f>
        <v>0</v>
      </c>
      <c r="H11" s="184">
        <f>CONVERT($D11,"l","us_pt")</f>
        <v>0</v>
      </c>
      <c r="I11" s="184">
        <f>CONVERT($D11,"l","qt")</f>
        <v>0</v>
      </c>
      <c r="J11" s="184">
        <f>CONVERT($D11,"l","gal")</f>
        <v>0</v>
      </c>
      <c r="K11" s="184">
        <f>CONVERT($D11,"l","l")</f>
        <v>0</v>
      </c>
    </row>
    <row r="12" spans="3:11" ht="15">
      <c r="C12" s="77" t="s">
        <v>376</v>
      </c>
      <c r="D12" s="164"/>
      <c r="E12" s="100">
        <f>SUM(E5:E11)</f>
        <v>0</v>
      </c>
      <c r="F12" s="100">
        <f aca="true" t="shared" si="0" ref="F12:K12">SUM(F5:F11)</f>
        <v>0</v>
      </c>
      <c r="G12" s="100">
        <f t="shared" si="0"/>
        <v>0</v>
      </c>
      <c r="H12" s="100">
        <f t="shared" si="0"/>
        <v>0</v>
      </c>
      <c r="I12" s="100">
        <f t="shared" si="0"/>
        <v>0</v>
      </c>
      <c r="J12" s="100">
        <f t="shared" si="0"/>
        <v>0</v>
      </c>
      <c r="K12" s="100">
        <f t="shared" si="0"/>
        <v>0</v>
      </c>
    </row>
    <row r="13" spans="3:11" ht="15">
      <c r="C13" s="77"/>
      <c r="D13" s="164"/>
      <c r="E13" s="100"/>
      <c r="F13" s="100"/>
      <c r="G13" s="100"/>
      <c r="H13" s="100"/>
      <c r="I13" s="100"/>
      <c r="J13" s="100"/>
      <c r="K13" s="100"/>
    </row>
    <row r="14" spans="3:11" ht="15">
      <c r="C14" s="77"/>
      <c r="D14" s="167"/>
      <c r="E14" s="242" t="s">
        <v>229</v>
      </c>
      <c r="F14" s="242"/>
      <c r="G14" s="242"/>
      <c r="H14" s="164"/>
      <c r="I14" s="164"/>
      <c r="J14" s="164"/>
      <c r="K14" s="164"/>
    </row>
    <row r="15" spans="3:11" ht="15">
      <c r="C15" s="183" t="s">
        <v>227</v>
      </c>
      <c r="D15" s="109" t="s">
        <v>222</v>
      </c>
      <c r="E15" s="184" t="s">
        <v>213</v>
      </c>
      <c r="F15" s="184" t="s">
        <v>214</v>
      </c>
      <c r="G15" s="184" t="s">
        <v>215</v>
      </c>
      <c r="H15" s="164"/>
      <c r="I15" s="164"/>
      <c r="J15" s="164"/>
      <c r="K15" s="164"/>
    </row>
    <row r="16" spans="3:11" ht="15">
      <c r="C16" s="77" t="s">
        <v>213</v>
      </c>
      <c r="D16" s="164">
        <v>0</v>
      </c>
      <c r="E16" s="100">
        <f>CONVERT($D16,"ozm","ozm")</f>
        <v>0</v>
      </c>
      <c r="F16" s="100">
        <f>CONVERT($D16,"ozm","lbm")</f>
        <v>0</v>
      </c>
      <c r="G16" s="100">
        <f>CONVERT($D16,"ozm","g")</f>
        <v>0</v>
      </c>
      <c r="H16" s="164"/>
      <c r="I16" s="164"/>
      <c r="J16" s="164"/>
      <c r="K16" s="164"/>
    </row>
    <row r="17" spans="3:11" ht="15">
      <c r="C17" s="77" t="s">
        <v>214</v>
      </c>
      <c r="D17" s="164">
        <v>0</v>
      </c>
      <c r="E17" s="100">
        <f>CONVERT($D17,"lbm","ozm")</f>
        <v>0</v>
      </c>
      <c r="F17" s="100">
        <f>CONVERT($D17,"lbm","lbm")</f>
        <v>0</v>
      </c>
      <c r="G17" s="100">
        <f>CONVERT($D17,"lbm","g")</f>
        <v>0</v>
      </c>
      <c r="H17" s="164"/>
      <c r="I17" s="164"/>
      <c r="J17" s="164"/>
      <c r="K17" s="164"/>
    </row>
    <row r="18" spans="3:11" ht="15">
      <c r="C18" s="183" t="s">
        <v>215</v>
      </c>
      <c r="D18" s="109">
        <v>0</v>
      </c>
      <c r="E18" s="184">
        <f>CONVERT($D18,"g","ozm")</f>
        <v>0</v>
      </c>
      <c r="F18" s="184">
        <f>CONVERT($D18,"g","lbm")</f>
        <v>0</v>
      </c>
      <c r="G18" s="184">
        <f>CONVERT($D18,"g","g")</f>
        <v>0</v>
      </c>
      <c r="H18" s="164"/>
      <c r="I18" s="164"/>
      <c r="J18" s="164"/>
      <c r="K18" s="164"/>
    </row>
    <row r="19" spans="3:11" ht="15">
      <c r="C19" s="77" t="s">
        <v>376</v>
      </c>
      <c r="D19" s="164"/>
      <c r="E19" s="100">
        <f>SUM(E16:E18)</f>
        <v>0</v>
      </c>
      <c r="F19" s="100">
        <f>SUM(F16:F18)</f>
        <v>0</v>
      </c>
      <c r="G19" s="100">
        <f>SUM(G16:G18)</f>
        <v>0</v>
      </c>
      <c r="H19" s="164"/>
      <c r="I19" s="164"/>
      <c r="J19" s="164"/>
      <c r="K19" s="164"/>
    </row>
    <row r="20" spans="4:11" ht="15">
      <c r="D20" s="164"/>
      <c r="E20" s="164"/>
      <c r="F20" s="164"/>
      <c r="G20" s="164"/>
      <c r="H20" s="164"/>
      <c r="I20" s="164"/>
      <c r="J20" s="164"/>
      <c r="K20" s="164"/>
    </row>
    <row r="25" spans="1:4" ht="15">
      <c r="A25" s="77"/>
      <c r="B25" s="77"/>
      <c r="C25" s="77"/>
      <c r="D25" s="77"/>
    </row>
    <row r="26" spans="1:12" ht="15">
      <c r="A26" s="77"/>
      <c r="B26" s="77"/>
      <c r="C26" s="77"/>
      <c r="D26" s="77"/>
      <c r="E26" s="185"/>
      <c r="F26" s="186" t="s">
        <v>204</v>
      </c>
      <c r="G26" s="186" t="s">
        <v>205</v>
      </c>
      <c r="H26" s="186" t="s">
        <v>212</v>
      </c>
      <c r="I26" s="186" t="s">
        <v>208</v>
      </c>
      <c r="J26" s="186" t="s">
        <v>24</v>
      </c>
      <c r="K26" s="186" t="s">
        <v>209</v>
      </c>
      <c r="L26" s="186" t="s">
        <v>231</v>
      </c>
    </row>
    <row r="27" spans="1:12" ht="15">
      <c r="A27" s="77"/>
      <c r="B27" s="77"/>
      <c r="C27" s="77"/>
      <c r="D27" s="77"/>
      <c r="E27" s="101" t="s">
        <v>500</v>
      </c>
      <c r="F27" s="103" t="s">
        <v>230</v>
      </c>
      <c r="G27" s="103" t="s">
        <v>206</v>
      </c>
      <c r="H27" s="103" t="s">
        <v>379</v>
      </c>
      <c r="I27" s="103" t="s">
        <v>207</v>
      </c>
      <c r="J27" s="103" t="s">
        <v>202</v>
      </c>
      <c r="K27" s="103" t="s">
        <v>210</v>
      </c>
      <c r="L27" s="103" t="s">
        <v>232</v>
      </c>
    </row>
    <row r="28" spans="2:12" ht="15">
      <c r="B28" s="77"/>
      <c r="C28" s="77"/>
      <c r="D28" s="77"/>
      <c r="E28" s="101"/>
      <c r="F28" s="103" t="s">
        <v>384</v>
      </c>
      <c r="G28" s="101"/>
      <c r="H28" s="103" t="s">
        <v>378</v>
      </c>
      <c r="I28" s="101"/>
      <c r="J28" s="101"/>
      <c r="K28" s="101"/>
      <c r="L28" s="101"/>
    </row>
    <row r="29" spans="1:12" ht="15">
      <c r="A29" s="181" t="s">
        <v>203</v>
      </c>
      <c r="B29" s="181" t="s">
        <v>301</v>
      </c>
      <c r="C29" s="181" t="s">
        <v>305</v>
      </c>
      <c r="D29" s="182" t="s">
        <v>499</v>
      </c>
      <c r="E29" s="181"/>
      <c r="F29" s="182" t="s">
        <v>385</v>
      </c>
      <c r="G29" s="181"/>
      <c r="H29" s="182" t="s">
        <v>377</v>
      </c>
      <c r="I29" s="181"/>
      <c r="J29" s="181"/>
      <c r="K29" s="181"/>
      <c r="L29" s="181"/>
    </row>
    <row r="30" spans="1:21" ht="15">
      <c r="A30" s="101" t="s">
        <v>494</v>
      </c>
      <c r="B30" s="161" t="s">
        <v>427</v>
      </c>
      <c r="C30" s="101" t="s">
        <v>477</v>
      </c>
      <c r="D30" s="102" t="s">
        <v>478</v>
      </c>
      <c r="E30" s="96">
        <v>75</v>
      </c>
      <c r="F30" s="100">
        <v>80</v>
      </c>
      <c r="G30" s="96">
        <v>0.9375</v>
      </c>
      <c r="H30" s="100">
        <v>22</v>
      </c>
      <c r="I30" s="100">
        <v>1</v>
      </c>
      <c r="J30" s="96">
        <v>20.625</v>
      </c>
      <c r="K30" s="96">
        <v>412.5</v>
      </c>
      <c r="L30" s="96">
        <v>0.04125</v>
      </c>
      <c r="N30" s="103"/>
      <c r="O30" s="103"/>
      <c r="P30" s="95"/>
      <c r="Q30" s="103"/>
      <c r="R30" s="103"/>
      <c r="S30" s="103"/>
      <c r="T30" s="103"/>
      <c r="U30" s="103"/>
    </row>
    <row r="31" spans="1:21" ht="15">
      <c r="A31" s="77" t="s">
        <v>435</v>
      </c>
      <c r="B31" s="165" t="s">
        <v>430</v>
      </c>
      <c r="C31" s="77" t="s">
        <v>485</v>
      </c>
      <c r="D31" s="104">
        <v>11</v>
      </c>
      <c r="E31" s="187">
        <v>0</v>
      </c>
      <c r="F31" s="164"/>
      <c r="G31" s="96">
        <f aca="true" t="shared" si="1" ref="G31:G60">IF(F31=0,0,E31/F31)</f>
        <v>0</v>
      </c>
      <c r="J31" s="96">
        <f aca="true" t="shared" si="2" ref="J31:J59">G31*H31*I31</f>
        <v>0</v>
      </c>
      <c r="K31" s="96">
        <f aca="true" t="shared" si="3" ref="K31:K59">J31*$B$2</f>
        <v>0</v>
      </c>
      <c r="L31" s="96">
        <f aca="true" t="shared" si="4" ref="L31:L59">K31/$B$4</f>
        <v>0</v>
      </c>
      <c r="N31" s="103"/>
      <c r="O31" s="103"/>
      <c r="P31" s="95"/>
      <c r="Q31" s="103"/>
      <c r="R31" s="103"/>
      <c r="S31" s="103"/>
      <c r="T31" s="103"/>
      <c r="U31" s="103"/>
    </row>
    <row r="32" spans="1:12" ht="15">
      <c r="A32" s="77" t="s">
        <v>434</v>
      </c>
      <c r="B32" s="165" t="s">
        <v>427</v>
      </c>
      <c r="C32" s="77" t="s">
        <v>477</v>
      </c>
      <c r="D32" s="104" t="s">
        <v>478</v>
      </c>
      <c r="E32" s="187">
        <v>0</v>
      </c>
      <c r="F32" s="164"/>
      <c r="G32" s="96">
        <f t="shared" si="1"/>
        <v>0</v>
      </c>
      <c r="J32" s="96">
        <f t="shared" si="2"/>
        <v>0</v>
      </c>
      <c r="K32" s="96">
        <f t="shared" si="3"/>
        <v>0</v>
      </c>
      <c r="L32" s="96">
        <f t="shared" si="4"/>
        <v>0</v>
      </c>
    </row>
    <row r="33" spans="1:12" ht="15">
      <c r="A33" s="77" t="s">
        <v>495</v>
      </c>
      <c r="B33" s="165" t="s">
        <v>427</v>
      </c>
      <c r="C33" s="77" t="s">
        <v>477</v>
      </c>
      <c r="D33" s="104" t="s">
        <v>478</v>
      </c>
      <c r="E33" s="187">
        <v>0</v>
      </c>
      <c r="F33" s="164"/>
      <c r="G33" s="96">
        <f t="shared" si="1"/>
        <v>0</v>
      </c>
      <c r="J33" s="96">
        <f t="shared" si="2"/>
        <v>0</v>
      </c>
      <c r="K33" s="96">
        <f t="shared" si="3"/>
        <v>0</v>
      </c>
      <c r="L33" s="96">
        <f t="shared" si="4"/>
        <v>0</v>
      </c>
    </row>
    <row r="34" spans="1:12" ht="15">
      <c r="A34" s="77" t="s">
        <v>457</v>
      </c>
      <c r="B34" s="165" t="s">
        <v>456</v>
      </c>
      <c r="C34" s="77" t="s">
        <v>492</v>
      </c>
      <c r="D34" s="104" t="s">
        <v>493</v>
      </c>
      <c r="E34" s="187">
        <v>0</v>
      </c>
      <c r="F34" s="164"/>
      <c r="G34" s="96">
        <f t="shared" si="1"/>
        <v>0</v>
      </c>
      <c r="J34" s="96">
        <f t="shared" si="2"/>
        <v>0</v>
      </c>
      <c r="K34" s="96">
        <f t="shared" si="3"/>
        <v>0</v>
      </c>
      <c r="L34" s="96">
        <f t="shared" si="4"/>
        <v>0</v>
      </c>
    </row>
    <row r="35" spans="1:12" ht="15">
      <c r="A35" s="77" t="s">
        <v>437</v>
      </c>
      <c r="B35" s="165" t="s">
        <v>436</v>
      </c>
      <c r="C35" s="77" t="s">
        <v>473</v>
      </c>
      <c r="D35" s="104" t="s">
        <v>474</v>
      </c>
      <c r="E35" s="187">
        <v>0</v>
      </c>
      <c r="F35" s="164"/>
      <c r="G35" s="96">
        <f t="shared" si="1"/>
        <v>0</v>
      </c>
      <c r="J35" s="96">
        <f t="shared" si="2"/>
        <v>0</v>
      </c>
      <c r="K35" s="96">
        <f t="shared" si="3"/>
        <v>0</v>
      </c>
      <c r="L35" s="96">
        <f t="shared" si="4"/>
        <v>0</v>
      </c>
    </row>
    <row r="36" spans="1:12" ht="15">
      <c r="A36" s="77" t="s">
        <v>439</v>
      </c>
      <c r="B36" s="165" t="s">
        <v>438</v>
      </c>
      <c r="C36" s="77" t="s">
        <v>490</v>
      </c>
      <c r="D36" s="104" t="s">
        <v>491</v>
      </c>
      <c r="E36" s="187">
        <v>0</v>
      </c>
      <c r="F36" s="164"/>
      <c r="G36" s="96">
        <f t="shared" si="1"/>
        <v>0</v>
      </c>
      <c r="J36" s="96">
        <f t="shared" si="2"/>
        <v>0</v>
      </c>
      <c r="K36" s="96">
        <f t="shared" si="3"/>
        <v>0</v>
      </c>
      <c r="L36" s="96">
        <f t="shared" si="4"/>
        <v>0</v>
      </c>
    </row>
    <row r="37" spans="1:12" ht="15">
      <c r="A37" s="77" t="s">
        <v>448</v>
      </c>
      <c r="B37" s="165" t="s">
        <v>447</v>
      </c>
      <c r="C37" s="77" t="s">
        <v>473</v>
      </c>
      <c r="D37" s="104" t="s">
        <v>474</v>
      </c>
      <c r="E37" s="187">
        <v>0</v>
      </c>
      <c r="F37" s="164"/>
      <c r="G37" s="96">
        <f t="shared" si="1"/>
        <v>0</v>
      </c>
      <c r="J37" s="96">
        <f t="shared" si="2"/>
        <v>0</v>
      </c>
      <c r="K37" s="96">
        <f t="shared" si="3"/>
        <v>0</v>
      </c>
      <c r="L37" s="96">
        <f t="shared" si="4"/>
        <v>0</v>
      </c>
    </row>
    <row r="38" spans="1:12" ht="15">
      <c r="A38" s="77" t="s">
        <v>470</v>
      </c>
      <c r="B38" s="165" t="s">
        <v>431</v>
      </c>
      <c r="C38" s="77" t="s">
        <v>482</v>
      </c>
      <c r="D38" s="104">
        <v>21</v>
      </c>
      <c r="E38" s="187">
        <v>0</v>
      </c>
      <c r="F38" s="164"/>
      <c r="G38" s="96">
        <f t="shared" si="1"/>
        <v>0</v>
      </c>
      <c r="J38" s="96">
        <f t="shared" si="2"/>
        <v>0</v>
      </c>
      <c r="K38" s="96">
        <f t="shared" si="3"/>
        <v>0</v>
      </c>
      <c r="L38" s="96">
        <f t="shared" si="4"/>
        <v>0</v>
      </c>
    </row>
    <row r="39" spans="1:12" ht="15">
      <c r="A39" s="77" t="s">
        <v>467</v>
      </c>
      <c r="B39" s="165" t="s">
        <v>466</v>
      </c>
      <c r="C39" s="77" t="s">
        <v>486</v>
      </c>
      <c r="D39" s="104">
        <v>7</v>
      </c>
      <c r="E39" s="187">
        <v>0</v>
      </c>
      <c r="F39" s="164"/>
      <c r="G39" s="96">
        <f t="shared" si="1"/>
        <v>0</v>
      </c>
      <c r="J39" s="96">
        <f t="shared" si="2"/>
        <v>0</v>
      </c>
      <c r="K39" s="96">
        <f t="shared" si="3"/>
        <v>0</v>
      </c>
      <c r="L39" s="96">
        <f t="shared" si="4"/>
        <v>0</v>
      </c>
    </row>
    <row r="40" spans="1:12" ht="15">
      <c r="A40" s="77" t="s">
        <v>469</v>
      </c>
      <c r="B40" s="165" t="s">
        <v>432</v>
      </c>
      <c r="C40" s="77" t="s">
        <v>472</v>
      </c>
      <c r="D40" s="104">
        <v>33</v>
      </c>
      <c r="E40" s="187">
        <v>0</v>
      </c>
      <c r="F40" s="164"/>
      <c r="G40" s="96">
        <f t="shared" si="1"/>
        <v>0</v>
      </c>
      <c r="J40" s="96">
        <f t="shared" si="2"/>
        <v>0</v>
      </c>
      <c r="K40" s="96">
        <f t="shared" si="3"/>
        <v>0</v>
      </c>
      <c r="L40" s="96">
        <f t="shared" si="4"/>
        <v>0</v>
      </c>
    </row>
    <row r="41" spans="1:12" ht="15">
      <c r="A41" s="77" t="s">
        <v>464</v>
      </c>
      <c r="B41" s="165" t="s">
        <v>193</v>
      </c>
      <c r="C41" s="77" t="s">
        <v>479</v>
      </c>
      <c r="D41" s="104" t="s">
        <v>480</v>
      </c>
      <c r="E41" s="187">
        <v>0</v>
      </c>
      <c r="F41" s="164"/>
      <c r="G41" s="96">
        <f t="shared" si="1"/>
        <v>0</v>
      </c>
      <c r="J41" s="96">
        <f t="shared" si="2"/>
        <v>0</v>
      </c>
      <c r="K41" s="96">
        <f t="shared" si="3"/>
        <v>0</v>
      </c>
      <c r="L41" s="96">
        <f t="shared" si="4"/>
        <v>0</v>
      </c>
    </row>
    <row r="42" spans="1:12" ht="15">
      <c r="A42" s="77" t="s">
        <v>465</v>
      </c>
      <c r="B42" s="165" t="s">
        <v>193</v>
      </c>
      <c r="C42" s="77" t="s">
        <v>479</v>
      </c>
      <c r="D42" s="104" t="s">
        <v>480</v>
      </c>
      <c r="E42" s="187">
        <v>0</v>
      </c>
      <c r="F42" s="164"/>
      <c r="G42" s="96">
        <f t="shared" si="1"/>
        <v>0</v>
      </c>
      <c r="J42" s="96">
        <f t="shared" si="2"/>
        <v>0</v>
      </c>
      <c r="K42" s="96">
        <f t="shared" si="3"/>
        <v>0</v>
      </c>
      <c r="L42" s="96">
        <f t="shared" si="4"/>
        <v>0</v>
      </c>
    </row>
    <row r="43" spans="1:12" ht="15">
      <c r="A43" s="77" t="s">
        <v>449</v>
      </c>
      <c r="B43" s="165" t="s">
        <v>433</v>
      </c>
      <c r="C43" s="77" t="s">
        <v>475</v>
      </c>
      <c r="D43" s="104" t="s">
        <v>476</v>
      </c>
      <c r="E43" s="187">
        <v>0</v>
      </c>
      <c r="F43" s="164"/>
      <c r="G43" s="96">
        <f t="shared" si="1"/>
        <v>0</v>
      </c>
      <c r="J43" s="96">
        <f t="shared" si="2"/>
        <v>0</v>
      </c>
      <c r="K43" s="96">
        <f t="shared" si="3"/>
        <v>0</v>
      </c>
      <c r="L43" s="96">
        <f t="shared" si="4"/>
        <v>0</v>
      </c>
    </row>
    <row r="44" spans="1:12" ht="15">
      <c r="A44" s="77" t="s">
        <v>450</v>
      </c>
      <c r="B44" s="165" t="s">
        <v>433</v>
      </c>
      <c r="C44" s="77" t="s">
        <v>475</v>
      </c>
      <c r="D44" s="104" t="s">
        <v>476</v>
      </c>
      <c r="E44" s="187">
        <v>0</v>
      </c>
      <c r="F44" s="164"/>
      <c r="G44" s="96">
        <f t="shared" si="1"/>
        <v>0</v>
      </c>
      <c r="J44" s="96">
        <f t="shared" si="2"/>
        <v>0</v>
      </c>
      <c r="K44" s="96">
        <f t="shared" si="3"/>
        <v>0</v>
      </c>
      <c r="L44" s="96">
        <f t="shared" si="4"/>
        <v>0</v>
      </c>
    </row>
    <row r="45" spans="1:12" ht="15">
      <c r="A45" s="77" t="s">
        <v>451</v>
      </c>
      <c r="B45" s="165" t="s">
        <v>433</v>
      </c>
      <c r="C45" s="77" t="s">
        <v>475</v>
      </c>
      <c r="D45" s="104" t="s">
        <v>476</v>
      </c>
      <c r="E45" s="187">
        <v>0</v>
      </c>
      <c r="F45" s="164"/>
      <c r="G45" s="96">
        <f t="shared" si="1"/>
        <v>0</v>
      </c>
      <c r="J45" s="96">
        <f t="shared" si="2"/>
        <v>0</v>
      </c>
      <c r="K45" s="96">
        <f t="shared" si="3"/>
        <v>0</v>
      </c>
      <c r="L45" s="96">
        <f t="shared" si="4"/>
        <v>0</v>
      </c>
    </row>
    <row r="46" spans="1:12" ht="15">
      <c r="A46" s="77" t="s">
        <v>452</v>
      </c>
      <c r="B46" s="165" t="s">
        <v>433</v>
      </c>
      <c r="C46" s="77" t="s">
        <v>475</v>
      </c>
      <c r="D46" s="104" t="s">
        <v>476</v>
      </c>
      <c r="E46" s="187">
        <v>0</v>
      </c>
      <c r="F46" s="164"/>
      <c r="G46" s="96">
        <f t="shared" si="1"/>
        <v>0</v>
      </c>
      <c r="J46" s="96">
        <f t="shared" si="2"/>
        <v>0</v>
      </c>
      <c r="K46" s="96">
        <f t="shared" si="3"/>
        <v>0</v>
      </c>
      <c r="L46" s="96">
        <f t="shared" si="4"/>
        <v>0</v>
      </c>
    </row>
    <row r="47" spans="1:12" ht="15">
      <c r="A47" s="77" t="s">
        <v>453</v>
      </c>
      <c r="B47" s="165" t="s">
        <v>433</v>
      </c>
      <c r="C47" s="77" t="s">
        <v>475</v>
      </c>
      <c r="D47" s="104" t="s">
        <v>476</v>
      </c>
      <c r="E47" s="187">
        <v>0</v>
      </c>
      <c r="F47" s="164"/>
      <c r="G47" s="96">
        <f t="shared" si="1"/>
        <v>0</v>
      </c>
      <c r="J47" s="96">
        <f t="shared" si="2"/>
        <v>0</v>
      </c>
      <c r="K47" s="96">
        <f t="shared" si="3"/>
        <v>0</v>
      </c>
      <c r="L47" s="96">
        <f t="shared" si="4"/>
        <v>0</v>
      </c>
    </row>
    <row r="48" spans="1:12" ht="15">
      <c r="A48" s="77" t="s">
        <v>468</v>
      </c>
      <c r="B48" s="165" t="s">
        <v>488</v>
      </c>
      <c r="C48" s="77" t="s">
        <v>489</v>
      </c>
      <c r="D48" s="104">
        <v>4</v>
      </c>
      <c r="E48" s="187">
        <v>0</v>
      </c>
      <c r="F48" s="164"/>
      <c r="G48" s="96">
        <f t="shared" si="1"/>
        <v>0</v>
      </c>
      <c r="J48" s="96">
        <f t="shared" si="2"/>
        <v>0</v>
      </c>
      <c r="K48" s="96">
        <f t="shared" si="3"/>
        <v>0</v>
      </c>
      <c r="L48" s="96">
        <f t="shared" si="4"/>
        <v>0</v>
      </c>
    </row>
    <row r="49" spans="1:12" ht="15">
      <c r="A49" s="77" t="s">
        <v>460</v>
      </c>
      <c r="B49" s="165" t="s">
        <v>428</v>
      </c>
      <c r="C49" s="77" t="s">
        <v>471</v>
      </c>
      <c r="D49" s="77">
        <v>3</v>
      </c>
      <c r="E49" s="187">
        <v>0</v>
      </c>
      <c r="F49" s="164"/>
      <c r="G49" s="96">
        <f t="shared" si="1"/>
        <v>0</v>
      </c>
      <c r="J49" s="96">
        <f t="shared" si="2"/>
        <v>0</v>
      </c>
      <c r="K49" s="96">
        <f t="shared" si="3"/>
        <v>0</v>
      </c>
      <c r="L49" s="96">
        <f t="shared" si="4"/>
        <v>0</v>
      </c>
    </row>
    <row r="50" spans="1:12" ht="15">
      <c r="A50" s="77" t="s">
        <v>454</v>
      </c>
      <c r="B50" s="165" t="s">
        <v>428</v>
      </c>
      <c r="C50" s="77" t="s">
        <v>471</v>
      </c>
      <c r="D50" s="77">
        <v>3</v>
      </c>
      <c r="E50" s="187">
        <v>0</v>
      </c>
      <c r="F50" s="164"/>
      <c r="G50" s="96">
        <f t="shared" si="1"/>
        <v>0</v>
      </c>
      <c r="J50" s="96">
        <f t="shared" si="2"/>
        <v>0</v>
      </c>
      <c r="K50" s="96">
        <f t="shared" si="3"/>
        <v>0</v>
      </c>
      <c r="L50" s="96">
        <f t="shared" si="4"/>
        <v>0</v>
      </c>
    </row>
    <row r="51" spans="1:12" ht="15">
      <c r="A51" s="77" t="s">
        <v>455</v>
      </c>
      <c r="B51" s="165" t="s">
        <v>428</v>
      </c>
      <c r="C51" s="77" t="s">
        <v>471</v>
      </c>
      <c r="D51" s="77">
        <v>3</v>
      </c>
      <c r="E51" s="187">
        <v>0</v>
      </c>
      <c r="F51" s="164"/>
      <c r="G51" s="96">
        <f t="shared" si="1"/>
        <v>0</v>
      </c>
      <c r="J51" s="96">
        <f t="shared" si="2"/>
        <v>0</v>
      </c>
      <c r="K51" s="96">
        <f t="shared" si="3"/>
        <v>0</v>
      </c>
      <c r="L51" s="96">
        <f t="shared" si="4"/>
        <v>0</v>
      </c>
    </row>
    <row r="52" spans="1:12" ht="15">
      <c r="A52" s="77" t="s">
        <v>463</v>
      </c>
      <c r="B52" s="165" t="s">
        <v>429</v>
      </c>
      <c r="C52" s="77" t="s">
        <v>471</v>
      </c>
      <c r="D52" s="77">
        <v>3</v>
      </c>
      <c r="E52" s="187">
        <v>0</v>
      </c>
      <c r="F52" s="164"/>
      <c r="G52" s="96">
        <f t="shared" si="1"/>
        <v>0</v>
      </c>
      <c r="J52" s="96">
        <f t="shared" si="2"/>
        <v>0</v>
      </c>
      <c r="K52" s="96">
        <f t="shared" si="3"/>
        <v>0</v>
      </c>
      <c r="L52" s="96">
        <f t="shared" si="4"/>
        <v>0</v>
      </c>
    </row>
    <row r="53" spans="1:12" ht="15">
      <c r="A53" s="77" t="s">
        <v>459</v>
      </c>
      <c r="B53" s="165" t="s">
        <v>458</v>
      </c>
      <c r="C53" s="77" t="s">
        <v>483</v>
      </c>
      <c r="D53" s="104" t="s">
        <v>484</v>
      </c>
      <c r="E53" s="187">
        <v>0</v>
      </c>
      <c r="F53" s="164"/>
      <c r="G53" s="96">
        <f t="shared" si="1"/>
        <v>0</v>
      </c>
      <c r="J53" s="96">
        <f t="shared" si="2"/>
        <v>0</v>
      </c>
      <c r="K53" s="96">
        <f t="shared" si="3"/>
        <v>0</v>
      </c>
      <c r="L53" s="96">
        <f t="shared" si="4"/>
        <v>0</v>
      </c>
    </row>
    <row r="54" spans="1:12" ht="15">
      <c r="A54" s="77" t="s">
        <v>441</v>
      </c>
      <c r="B54" s="165" t="s">
        <v>440</v>
      </c>
      <c r="C54" s="77" t="s">
        <v>481</v>
      </c>
      <c r="D54" s="104">
        <v>25</v>
      </c>
      <c r="E54" s="187">
        <v>0</v>
      </c>
      <c r="F54" s="164"/>
      <c r="G54" s="96">
        <f t="shared" si="1"/>
        <v>0</v>
      </c>
      <c r="J54" s="96">
        <f t="shared" si="2"/>
        <v>0</v>
      </c>
      <c r="K54" s="96">
        <f t="shared" si="3"/>
        <v>0</v>
      </c>
      <c r="L54" s="96">
        <f t="shared" si="4"/>
        <v>0</v>
      </c>
    </row>
    <row r="55" spans="1:12" ht="15">
      <c r="A55" s="77" t="s">
        <v>442</v>
      </c>
      <c r="B55" s="165" t="s">
        <v>426</v>
      </c>
      <c r="C55" s="77" t="s">
        <v>487</v>
      </c>
      <c r="D55" s="104">
        <v>1</v>
      </c>
      <c r="E55" s="187">
        <v>0</v>
      </c>
      <c r="F55" s="164"/>
      <c r="G55" s="96">
        <f t="shared" si="1"/>
        <v>0</v>
      </c>
      <c r="J55" s="96">
        <f t="shared" si="2"/>
        <v>0</v>
      </c>
      <c r="K55" s="96">
        <f t="shared" si="3"/>
        <v>0</v>
      </c>
      <c r="L55" s="96">
        <f t="shared" si="4"/>
        <v>0</v>
      </c>
    </row>
    <row r="56" spans="1:12" ht="15">
      <c r="A56" s="77" t="s">
        <v>443</v>
      </c>
      <c r="B56" s="165" t="s">
        <v>426</v>
      </c>
      <c r="C56" s="77" t="s">
        <v>487</v>
      </c>
      <c r="D56" s="104">
        <v>1</v>
      </c>
      <c r="E56" s="187">
        <v>0</v>
      </c>
      <c r="F56" s="164"/>
      <c r="G56" s="96">
        <f t="shared" si="1"/>
        <v>0</v>
      </c>
      <c r="J56" s="96">
        <f t="shared" si="2"/>
        <v>0</v>
      </c>
      <c r="K56" s="96">
        <f t="shared" si="3"/>
        <v>0</v>
      </c>
      <c r="L56" s="96">
        <f t="shared" si="4"/>
        <v>0</v>
      </c>
    </row>
    <row r="57" spans="1:12" ht="15">
      <c r="A57" s="77" t="s">
        <v>444</v>
      </c>
      <c r="B57" s="165" t="s">
        <v>426</v>
      </c>
      <c r="C57" s="77" t="s">
        <v>487</v>
      </c>
      <c r="D57" s="104">
        <v>1</v>
      </c>
      <c r="E57" s="187">
        <v>0</v>
      </c>
      <c r="F57" s="164"/>
      <c r="G57" s="96">
        <f t="shared" si="1"/>
        <v>0</v>
      </c>
      <c r="J57" s="96">
        <f t="shared" si="2"/>
        <v>0</v>
      </c>
      <c r="K57" s="96">
        <f t="shared" si="3"/>
        <v>0</v>
      </c>
      <c r="L57" s="96">
        <f t="shared" si="4"/>
        <v>0</v>
      </c>
    </row>
    <row r="58" spans="1:12" ht="15">
      <c r="A58" s="77" t="s">
        <v>445</v>
      </c>
      <c r="B58" s="165" t="s">
        <v>426</v>
      </c>
      <c r="C58" s="77" t="s">
        <v>487</v>
      </c>
      <c r="D58" s="104">
        <v>1</v>
      </c>
      <c r="E58" s="187">
        <v>0</v>
      </c>
      <c r="F58" s="164"/>
      <c r="G58" s="96">
        <f t="shared" si="1"/>
        <v>0</v>
      </c>
      <c r="J58" s="96">
        <f t="shared" si="2"/>
        <v>0</v>
      </c>
      <c r="K58" s="96">
        <f t="shared" si="3"/>
        <v>0</v>
      </c>
      <c r="L58" s="96">
        <f t="shared" si="4"/>
        <v>0</v>
      </c>
    </row>
    <row r="59" spans="1:12" ht="15">
      <c r="A59" s="77" t="s">
        <v>461</v>
      </c>
      <c r="B59" s="165" t="s">
        <v>446</v>
      </c>
      <c r="C59" s="77" t="s">
        <v>471</v>
      </c>
      <c r="D59" s="77">
        <v>3</v>
      </c>
      <c r="E59" s="187">
        <v>0</v>
      </c>
      <c r="F59" s="164"/>
      <c r="G59" s="96">
        <f t="shared" si="1"/>
        <v>0</v>
      </c>
      <c r="J59" s="96">
        <f t="shared" si="2"/>
        <v>0</v>
      </c>
      <c r="K59" s="96">
        <f t="shared" si="3"/>
        <v>0</v>
      </c>
      <c r="L59" s="96">
        <f t="shared" si="4"/>
        <v>0</v>
      </c>
    </row>
    <row r="60" spans="1:12" ht="15">
      <c r="A60" s="165" t="s">
        <v>462</v>
      </c>
      <c r="B60" s="165" t="s">
        <v>446</v>
      </c>
      <c r="C60" s="77" t="s">
        <v>471</v>
      </c>
      <c r="D60" s="77">
        <v>3</v>
      </c>
      <c r="E60" s="187">
        <v>0</v>
      </c>
      <c r="F60" s="164"/>
      <c r="G60" s="96">
        <f t="shared" si="1"/>
        <v>0</v>
      </c>
      <c r="J60" s="96">
        <f>G60*H60*I60</f>
        <v>0</v>
      </c>
      <c r="K60" s="96">
        <f>J60*$B$2</f>
        <v>0</v>
      </c>
      <c r="L60" s="96">
        <f>K60/$B$4</f>
        <v>0</v>
      </c>
    </row>
    <row r="61" spans="1:12" ht="15">
      <c r="A61" s="83" t="s">
        <v>402</v>
      </c>
      <c r="B61" s="83" t="s">
        <v>496</v>
      </c>
      <c r="C61" s="75" t="s">
        <v>497</v>
      </c>
      <c r="E61" s="187"/>
      <c r="F61" s="164"/>
      <c r="G61" s="100"/>
      <c r="J61" s="100"/>
      <c r="K61" s="100"/>
      <c r="L61" s="100"/>
    </row>
    <row r="62" spans="1:12" ht="15">
      <c r="A62" s="99"/>
      <c r="E62" s="187">
        <v>0</v>
      </c>
      <c r="F62" s="164"/>
      <c r="G62" s="96">
        <f aca="true" t="shared" si="5" ref="G62:G67">IF(F62=0,0,E62/F62)</f>
        <v>0</v>
      </c>
      <c r="J62" s="96">
        <f aca="true" t="shared" si="6" ref="J62:J67">G62*H62*I62</f>
        <v>0</v>
      </c>
      <c r="K62" s="96">
        <f aca="true" t="shared" si="7" ref="K62:K67">J62*$B$2</f>
        <v>0</v>
      </c>
      <c r="L62" s="96">
        <f aca="true" t="shared" si="8" ref="L62:L67">K62/$B$4</f>
        <v>0</v>
      </c>
    </row>
    <row r="63" spans="5:12" ht="15">
      <c r="E63" s="187">
        <v>0</v>
      </c>
      <c r="F63" s="164"/>
      <c r="G63" s="96">
        <f t="shared" si="5"/>
        <v>0</v>
      </c>
      <c r="J63" s="96">
        <f t="shared" si="6"/>
        <v>0</v>
      </c>
      <c r="K63" s="96">
        <f t="shared" si="7"/>
        <v>0</v>
      </c>
      <c r="L63" s="96">
        <f t="shared" si="8"/>
        <v>0</v>
      </c>
    </row>
    <row r="64" spans="5:12" ht="15">
      <c r="E64" s="187">
        <v>0</v>
      </c>
      <c r="F64" s="164"/>
      <c r="G64" s="96">
        <f t="shared" si="5"/>
        <v>0</v>
      </c>
      <c r="J64" s="96">
        <f t="shared" si="6"/>
        <v>0</v>
      </c>
      <c r="K64" s="96">
        <f t="shared" si="7"/>
        <v>0</v>
      </c>
      <c r="L64" s="96">
        <f t="shared" si="8"/>
        <v>0</v>
      </c>
    </row>
    <row r="65" spans="5:12" ht="15">
      <c r="E65" s="187">
        <v>0</v>
      </c>
      <c r="F65" s="164"/>
      <c r="G65" s="96">
        <f t="shared" si="5"/>
        <v>0</v>
      </c>
      <c r="J65" s="96">
        <f t="shared" si="6"/>
        <v>0</v>
      </c>
      <c r="K65" s="96">
        <f t="shared" si="7"/>
        <v>0</v>
      </c>
      <c r="L65" s="96">
        <f t="shared" si="8"/>
        <v>0</v>
      </c>
    </row>
    <row r="66" spans="5:12" ht="15">
      <c r="E66" s="187">
        <v>0</v>
      </c>
      <c r="F66" s="164"/>
      <c r="G66" s="96">
        <f t="shared" si="5"/>
        <v>0</v>
      </c>
      <c r="J66" s="96">
        <f t="shared" si="6"/>
        <v>0</v>
      </c>
      <c r="K66" s="96">
        <f t="shared" si="7"/>
        <v>0</v>
      </c>
      <c r="L66" s="96">
        <f t="shared" si="8"/>
        <v>0</v>
      </c>
    </row>
    <row r="67" spans="5:12" ht="15">
      <c r="E67" s="187">
        <v>0</v>
      </c>
      <c r="F67" s="164"/>
      <c r="G67" s="96">
        <f t="shared" si="5"/>
        <v>0</v>
      </c>
      <c r="J67" s="96">
        <f t="shared" si="6"/>
        <v>0</v>
      </c>
      <c r="K67" s="96">
        <f t="shared" si="7"/>
        <v>0</v>
      </c>
      <c r="L67" s="96">
        <f t="shared" si="8"/>
        <v>0</v>
      </c>
    </row>
    <row r="68" spans="1:12" ht="15">
      <c r="A68" s="188" t="s">
        <v>382</v>
      </c>
      <c r="B68" s="167"/>
      <c r="C68" s="167"/>
      <c r="D68" s="189"/>
      <c r="E68" s="167"/>
      <c r="F68" s="167"/>
      <c r="G68" s="167"/>
      <c r="H68" s="167"/>
      <c r="I68" s="167"/>
      <c r="J68" s="190">
        <f>SUM(J31:J67)</f>
        <v>0</v>
      </c>
      <c r="K68" s="190">
        <f>SUM(K31:K67)</f>
        <v>0</v>
      </c>
      <c r="L68" s="190">
        <f>SUM(L31:L67)</f>
        <v>0</v>
      </c>
    </row>
    <row r="69" spans="1:12" ht="15">
      <c r="A69" s="161"/>
      <c r="D69" s="92"/>
      <c r="J69" s="97"/>
      <c r="K69" s="97"/>
      <c r="L69" s="97"/>
    </row>
    <row r="70" spans="1:3" ht="15">
      <c r="A70" s="246" t="s">
        <v>538</v>
      </c>
      <c r="B70" s="246"/>
      <c r="C70" s="246"/>
    </row>
    <row r="71" spans="1:2" ht="15">
      <c r="A71" s="181" t="s">
        <v>498</v>
      </c>
      <c r="B71" s="169"/>
    </row>
    <row r="72" spans="1:3" ht="15">
      <c r="A72" s="165" t="s">
        <v>115</v>
      </c>
      <c r="C72" s="100"/>
    </row>
    <row r="73" spans="1:4" ht="15">
      <c r="A73" s="77" t="s">
        <v>88</v>
      </c>
      <c r="D73" s="93"/>
    </row>
    <row r="74" ht="15">
      <c r="A74" s="165" t="s">
        <v>89</v>
      </c>
    </row>
    <row r="75" ht="15">
      <c r="A75" s="77" t="s">
        <v>93</v>
      </c>
    </row>
    <row r="76" ht="15">
      <c r="A76" s="165" t="s">
        <v>94</v>
      </c>
    </row>
    <row r="77" ht="15">
      <c r="A77" s="77" t="s">
        <v>96</v>
      </c>
    </row>
    <row r="78" ht="15">
      <c r="A78" s="165" t="s">
        <v>118</v>
      </c>
    </row>
    <row r="79" ht="15">
      <c r="A79" s="77" t="s">
        <v>119</v>
      </c>
    </row>
    <row r="80" ht="15">
      <c r="A80" s="165" t="s">
        <v>114</v>
      </c>
    </row>
    <row r="81" ht="15">
      <c r="A81" s="77" t="s">
        <v>98</v>
      </c>
    </row>
    <row r="82" ht="15">
      <c r="A82" s="165" t="s">
        <v>386</v>
      </c>
    </row>
    <row r="83" ht="15">
      <c r="A83" s="77" t="s">
        <v>116</v>
      </c>
    </row>
    <row r="84" spans="1:2" ht="15">
      <c r="A84" s="191" t="s">
        <v>388</v>
      </c>
      <c r="B84" s="192">
        <f>SUM(B72:B83)</f>
        <v>0</v>
      </c>
    </row>
    <row r="86" spans="1:2" ht="15">
      <c r="A86" s="193" t="s">
        <v>380</v>
      </c>
      <c r="B86" s="181" t="s">
        <v>387</v>
      </c>
    </row>
    <row r="87" ht="15">
      <c r="A87" s="77" t="s">
        <v>14</v>
      </c>
    </row>
    <row r="88" ht="15">
      <c r="A88" s="77" t="s">
        <v>15</v>
      </c>
    </row>
    <row r="89" ht="15">
      <c r="A89" s="77" t="s">
        <v>15</v>
      </c>
    </row>
    <row r="90" ht="15">
      <c r="A90" s="77" t="s">
        <v>2</v>
      </c>
    </row>
    <row r="91" ht="15">
      <c r="A91" s="77" t="s">
        <v>4</v>
      </c>
    </row>
    <row r="92" spans="1:2" ht="15">
      <c r="A92" s="185" t="s">
        <v>381</v>
      </c>
      <c r="B92" s="192">
        <f>SUM(B87:B91)</f>
        <v>0</v>
      </c>
    </row>
  </sheetData>
  <sheetProtection password="96BD" sheet="1"/>
  <mergeCells count="4">
    <mergeCell ref="E2:K2"/>
    <mergeCell ref="E3:J3"/>
    <mergeCell ref="E14:G14"/>
    <mergeCell ref="A70:C70"/>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NCSU - Ag &amp; Resource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cdsafley</dc:creator>
  <cp:keywords/>
  <dc:description/>
  <cp:lastModifiedBy>Reviewer Anonymous</cp:lastModifiedBy>
  <cp:lastPrinted>2012-05-22T13:23:26Z</cp:lastPrinted>
  <dcterms:created xsi:type="dcterms:W3CDTF">2007-06-01T17:14:24Z</dcterms:created>
  <dcterms:modified xsi:type="dcterms:W3CDTF">2012-10-02T20:01:21Z</dcterms:modified>
  <cp:category/>
  <cp:version/>
  <cp:contentType/>
  <cp:contentStatus/>
</cp:coreProperties>
</file>